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ejpd.intra.admin.ch\Userhome$\BFM-01\U80853344\Config\Desktop\"/>
    </mc:Choice>
  </mc:AlternateContent>
  <xr:revisionPtr revIDLastSave="0" documentId="8_{A4A7516A-2536-4425-BF36-42292E4A210F}" xr6:coauthVersionLast="47" xr6:coauthVersionMax="47" xr10:uidLastSave="{00000000-0000-0000-0000-000000000000}"/>
  <workbookProtection workbookAlgorithmName="SHA-512" workbookHashValue="m+7R6zoUGMLH08hBl7gxLWqL7ekR9m9togpYg8WGUaYQV6lXiJCyPesHwtSJ5mJNvt8hZn01FgJo5YnEPJk05Q==" workbookSaltValue="0uq5rJ8/bdk60jVEw8kjnQ==" workbookSpinCount="100000" lockStructure="1"/>
  <bookViews>
    <workbookView xWindow="-110" yWindow="-110" windowWidth="19420" windowHeight="10420" firstSheet="1" activeTab="1" xr2:uid="{00000000-000D-0000-FFFF-FFFF00000000}"/>
  </bookViews>
  <sheets>
    <sheet name="Dropdownlisten" sheetId="1" state="veryHidden" r:id="rId1"/>
    <sheet name="Table des matières" sheetId="3" r:id="rId2"/>
    <sheet name="Indicateurs PIC" sheetId="4" r:id="rId3"/>
    <sheet name="Sommaire Indicateurs AIS" sheetId="5" r:id="rId4"/>
    <sheet name="Ind AIS N°1" sheetId="6" state="veryHidden" r:id="rId5"/>
    <sheet name="Ind AIS N°2" sheetId="7" r:id="rId6"/>
    <sheet name="Ind AIS N°3" sheetId="8" r:id="rId7"/>
    <sheet name="Ind AIS N°4" sheetId="9" r:id="rId8"/>
    <sheet name="Ind AIS N°5" sheetId="10" r:id="rId9"/>
    <sheet name="Ind AIS N°6" sheetId="11" r:id="rId10"/>
    <sheet name="Ind AIS N°7" sheetId="12" r:id="rId11"/>
    <sheet name="Ind AIS N°8" sheetId="13" r:id="rId12"/>
    <sheet name="Ind AIS N°9" sheetId="14" r:id="rId13"/>
    <sheet name="Ind AIS N°11a" sheetId="16" r:id="rId14"/>
    <sheet name="Ind AIS N°11b" sheetId="17" r:id="rId15"/>
    <sheet name="Ind AIS N°14" sheetId="18" r:id="rId16"/>
    <sheet name="Univers AIS Effectif" sheetId="20" state="veryHidden" r:id="rId17"/>
    <sheet name="Univers AIS décisions 1.5.19" sheetId="19" state="veryHidden" r:id="rId18"/>
  </sheets>
  <definedNames>
    <definedName name="bestand_alle">'Univers AIS Effectif'!$A$5:$AF$34</definedName>
    <definedName name="bestand_ias">'Univers AIS décisions 1.5.19'!$A$5:$AK$34</definedName>
    <definedName name="Print_Area" localSheetId="4">'Ind AIS N°1'!$A$1:$L$16</definedName>
    <definedName name="Print_Area" localSheetId="13">'Ind AIS N°11a'!$A$1:$N$17</definedName>
    <definedName name="Print_Area" localSheetId="14">'Ind AIS N°11b'!$A$1:$N$17</definedName>
    <definedName name="Print_Area" localSheetId="5">'Ind AIS N°2'!$A$1:$L$21</definedName>
    <definedName name="Print_Area" localSheetId="6">'Ind AIS N°3'!$A$1:$M$18</definedName>
    <definedName name="Print_Area" localSheetId="7">'Ind AIS N°4'!$A$1:$M$16</definedName>
    <definedName name="Print_Area" localSheetId="8">'Ind AIS N°5'!$A$1:$M$18</definedName>
    <definedName name="Print_Area" localSheetId="9">'Ind AIS N°6'!$A$1:$L$16</definedName>
    <definedName name="Print_Area" localSheetId="10">'Ind AIS N°7'!$A$1:$N$17</definedName>
    <definedName name="Print_Area" localSheetId="11">'Ind AIS N°8'!$A$1:$P$18</definedName>
    <definedName name="Print_Area" localSheetId="12">'Ind AIS N°9'!$A$1:$N$18</definedName>
    <definedName name="Print_Area" localSheetId="2">'Indicateurs PIC'!$A$1:$L$14</definedName>
    <definedName name="Print_Area" localSheetId="3">'Sommaire Indicateurs AIS'!$A$1:$P$35</definedName>
    <definedName name="Print_Area" localSheetId="1">'Table des matières'!$A$1:$H$32</definedName>
    <definedName name="Print_Area" localSheetId="17">'Univers AIS décisions 1.5.19'!$A$1:$AK$34</definedName>
    <definedName name="Print_Area" localSheetId="16">'Univers AIS Effectif'!$A$1:$AF$34</definedName>
    <definedName name="Z_168849A9_FED9_4458_942F_290616B3A25C_.wvu.PrintArea" localSheetId="4" hidden="1">'Ind AIS N°1'!$A$1:$L$16</definedName>
    <definedName name="Z_168849A9_FED9_4458_942F_290616B3A25C_.wvu.PrintArea" localSheetId="13" hidden="1">'Ind AIS N°11a'!$A$1:$N$17</definedName>
    <definedName name="Z_168849A9_FED9_4458_942F_290616B3A25C_.wvu.PrintArea" localSheetId="14" hidden="1">'Ind AIS N°11b'!$A$1:$N$17</definedName>
    <definedName name="Z_168849A9_FED9_4458_942F_290616B3A25C_.wvu.PrintArea" localSheetId="5" hidden="1">'Ind AIS N°2'!$A$1:$L$21</definedName>
    <definedName name="Z_168849A9_FED9_4458_942F_290616B3A25C_.wvu.PrintArea" localSheetId="6" hidden="1">'Ind AIS N°3'!$A$1:$M$18</definedName>
    <definedName name="Z_168849A9_FED9_4458_942F_290616B3A25C_.wvu.PrintArea" localSheetId="7" hidden="1">'Ind AIS N°4'!$A$1:$M$16</definedName>
    <definedName name="Z_168849A9_FED9_4458_942F_290616B3A25C_.wvu.PrintArea" localSheetId="8" hidden="1">'Ind AIS N°5'!$A$1:$M$18</definedName>
    <definedName name="Z_168849A9_FED9_4458_942F_290616B3A25C_.wvu.PrintArea" localSheetId="9" hidden="1">'Ind AIS N°6'!$A$1:$L$16</definedName>
    <definedName name="Z_168849A9_FED9_4458_942F_290616B3A25C_.wvu.PrintArea" localSheetId="10" hidden="1">'Ind AIS N°7'!$A$1:$N$17</definedName>
    <definedName name="Z_168849A9_FED9_4458_942F_290616B3A25C_.wvu.PrintArea" localSheetId="11" hidden="1">'Ind AIS N°8'!$A$1:$P$18</definedName>
    <definedName name="Z_168849A9_FED9_4458_942F_290616B3A25C_.wvu.PrintArea" localSheetId="12" hidden="1">'Ind AIS N°9'!$A$1:$N$18</definedName>
    <definedName name="Z_168849A9_FED9_4458_942F_290616B3A25C_.wvu.PrintArea" localSheetId="2" hidden="1">'Indicateurs PIC'!$A$1:$L$14</definedName>
    <definedName name="Z_168849A9_FED9_4458_942F_290616B3A25C_.wvu.PrintArea" localSheetId="3" hidden="1">'Sommaire Indicateurs AIS'!$A$1:$P$35</definedName>
    <definedName name="Z_168849A9_FED9_4458_942F_290616B3A25C_.wvu.PrintArea" localSheetId="1" hidden="1">'Table des matières'!$A$1:$H$32</definedName>
    <definedName name="Z_168849A9_FED9_4458_942F_290616B3A25C_.wvu.PrintArea" localSheetId="17" hidden="1">'Univers AIS décisions 1.5.19'!$A$1:$AK$34</definedName>
    <definedName name="Z_168849A9_FED9_4458_942F_290616B3A25C_.wvu.PrintArea" localSheetId="16" hidden="1">'Univers AIS Effectif'!$A$1:$AF$34</definedName>
    <definedName name="Z_168849A9_FED9_4458_942F_290616B3A25C_.wvu.Rows" localSheetId="17" hidden="1">'Univers AIS décisions 1.5.19'!$36:$36</definedName>
    <definedName name="Z_168849A9_FED9_4458_942F_290616B3A25C_.wvu.Rows" localSheetId="16" hidden="1">'Univers AIS Effectif'!$36:$36</definedName>
  </definedNames>
  <calcPr calcId="191029"/>
  <customWorkbookViews>
    <customWorkbookView name="Corina Bürgi - Persönliche Ansicht" guid="{168849A9-FED9-4458-942F-290616B3A25C}" mergeInterval="0" personalView="1" maximized="1" xWindow="2869" yWindow="-9" windowWidth="2902" windowHeight="1582"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6" l="1"/>
  <c r="G14" i="5" l="1"/>
  <c r="G34" i="5"/>
  <c r="G31" i="5"/>
  <c r="G30" i="5"/>
  <c r="G27" i="5"/>
  <c r="G23" i="5"/>
  <c r="G20" i="5"/>
  <c r="G17" i="5"/>
  <c r="G16" i="5"/>
  <c r="G15" i="5"/>
  <c r="G13" i="5"/>
  <c r="G12" i="5"/>
  <c r="G11" i="5"/>
  <c r="G10" i="5"/>
  <c r="G9" i="5"/>
  <c r="G8" i="5"/>
  <c r="C8" i="9" l="1"/>
  <c r="H12" i="7"/>
  <c r="E12" i="7"/>
  <c r="D8" i="7"/>
  <c r="C8" i="18" l="1"/>
  <c r="C8" i="17" l="1"/>
  <c r="C8" i="14"/>
  <c r="C8" i="13"/>
  <c r="C8" i="12"/>
  <c r="C8" i="11"/>
  <c r="D10" i="10"/>
  <c r="D9" i="10"/>
  <c r="D8" i="10"/>
  <c r="D8" i="8"/>
  <c r="D10" i="8"/>
  <c r="D9" i="8"/>
  <c r="D12" i="7"/>
  <c r="C8" i="6"/>
  <c r="D10" i="7" l="1"/>
  <c r="D11" i="7"/>
  <c r="D9" i="7"/>
  <c r="E10" i="8" l="1"/>
  <c r="J34" i="5" l="1"/>
  <c r="J31" i="5"/>
  <c r="J30" i="5"/>
  <c r="J27" i="5"/>
  <c r="J23" i="5"/>
  <c r="J20" i="5"/>
  <c r="J17" i="5"/>
  <c r="J16" i="5"/>
  <c r="J15" i="5"/>
  <c r="J14" i="5"/>
  <c r="J13" i="5"/>
  <c r="J12" i="5"/>
  <c r="J11" i="5"/>
  <c r="J10" i="5"/>
  <c r="J9" i="5"/>
  <c r="J8" i="5"/>
  <c r="F10" i="10" l="1"/>
  <c r="F10" i="8"/>
  <c r="F12" i="7"/>
  <c r="F36" i="19" l="1"/>
  <c r="C36" i="19"/>
  <c r="AE36" i="20" l="1"/>
  <c r="AB36" i="20"/>
  <c r="Z36" i="20"/>
  <c r="W36" i="20"/>
  <c r="U36" i="20"/>
  <c r="R36" i="20"/>
  <c r="M36" i="20"/>
  <c r="K36" i="20"/>
  <c r="H36" i="20"/>
  <c r="F36" i="20"/>
  <c r="C36" i="20"/>
  <c r="AJ36" i="19"/>
  <c r="AG36" i="19"/>
  <c r="AE36" i="19"/>
  <c r="AB36" i="19"/>
  <c r="Z36" i="19"/>
  <c r="W36" i="19"/>
  <c r="U36" i="19"/>
  <c r="R36" i="19"/>
  <c r="P36" i="19"/>
  <c r="M36" i="19"/>
  <c r="H36" i="19"/>
  <c r="K36" i="19"/>
  <c r="O34" i="5" l="1"/>
  <c r="N34" i="5"/>
  <c r="O31" i="5"/>
  <c r="N31" i="5"/>
  <c r="O30" i="5"/>
  <c r="N30" i="5"/>
  <c r="O27" i="5"/>
  <c r="N27" i="5"/>
  <c r="O24" i="5"/>
  <c r="N24" i="5"/>
  <c r="O23" i="5"/>
  <c r="N23" i="5"/>
  <c r="P36" i="20" l="1"/>
  <c r="M34" i="5" l="1"/>
  <c r="L34" i="5"/>
  <c r="K34" i="5"/>
  <c r="I34" i="5"/>
  <c r="H34" i="5"/>
  <c r="M31" i="5"/>
  <c r="L31" i="5"/>
  <c r="K31" i="5"/>
  <c r="I31" i="5"/>
  <c r="H31" i="5"/>
  <c r="M30" i="5"/>
  <c r="L30" i="5"/>
  <c r="K30" i="5"/>
  <c r="I30" i="5"/>
  <c r="H30" i="5"/>
  <c r="M27" i="5"/>
  <c r="L27" i="5"/>
  <c r="K27" i="5"/>
  <c r="I27" i="5"/>
  <c r="H27" i="5"/>
  <c r="M24" i="5" l="1"/>
  <c r="L24" i="5"/>
  <c r="K24" i="5"/>
  <c r="I24" i="5"/>
  <c r="H24" i="5"/>
  <c r="G24" i="5" s="1"/>
  <c r="M23" i="5"/>
  <c r="L23" i="5"/>
  <c r="K23" i="5"/>
  <c r="I23" i="5"/>
  <c r="H23" i="5"/>
  <c r="M20" i="5"/>
  <c r="L20" i="5"/>
  <c r="K20" i="5"/>
  <c r="I20" i="5"/>
  <c r="H20" i="5"/>
  <c r="M17" i="5"/>
  <c r="L17" i="5"/>
  <c r="K17" i="5"/>
  <c r="I17" i="5"/>
  <c r="H17" i="5"/>
  <c r="M16" i="5"/>
  <c r="L16" i="5"/>
  <c r="K16" i="5"/>
  <c r="I16" i="5"/>
  <c r="H16" i="5"/>
  <c r="M15" i="5"/>
  <c r="L15" i="5"/>
  <c r="K15" i="5"/>
  <c r="I15" i="5"/>
  <c r="H15" i="5"/>
  <c r="M14" i="5"/>
  <c r="L14" i="5"/>
  <c r="K14" i="5"/>
  <c r="I14" i="5"/>
  <c r="H14" i="5"/>
  <c r="M13" i="5"/>
  <c r="L13" i="5"/>
  <c r="K13" i="5"/>
  <c r="I13" i="5"/>
  <c r="H13" i="5"/>
  <c r="M12" i="5"/>
  <c r="L12" i="5"/>
  <c r="K12" i="5"/>
  <c r="I12" i="5"/>
  <c r="M11" i="5"/>
  <c r="L11" i="5"/>
  <c r="K11" i="5"/>
  <c r="I11" i="5"/>
  <c r="M10" i="5"/>
  <c r="L10" i="5"/>
  <c r="K10" i="5"/>
  <c r="I10" i="5"/>
  <c r="H12" i="5"/>
  <c r="H11" i="5"/>
  <c r="H10" i="5"/>
  <c r="M9" i="5"/>
  <c r="L9" i="5"/>
  <c r="K9" i="5"/>
  <c r="I9" i="5"/>
  <c r="H9" i="5"/>
  <c r="I8" i="5"/>
  <c r="K8" i="5"/>
  <c r="L8" i="5"/>
  <c r="M8" i="5"/>
  <c r="H8" i="5"/>
  <c r="C3" i="18" l="1"/>
  <c r="C3" i="17"/>
  <c r="C3" i="16"/>
  <c r="C3" i="14"/>
  <c r="C3" i="13"/>
  <c r="C3" i="12"/>
  <c r="C3" i="11"/>
  <c r="C3" i="10"/>
  <c r="C3" i="9"/>
  <c r="C3" i="8"/>
  <c r="C3" i="7"/>
  <c r="C3" i="6"/>
  <c r="F2" i="4"/>
  <c r="E2" i="5" s="1"/>
  <c r="E10" i="17" l="1"/>
  <c r="F10" i="17"/>
  <c r="D10" i="17"/>
  <c r="C10" i="17" s="1"/>
  <c r="I9" i="17"/>
  <c r="F9" i="17"/>
  <c r="E9" i="17"/>
  <c r="H10" i="17"/>
  <c r="D9" i="17"/>
  <c r="C9" i="17" s="1"/>
  <c r="H9" i="17"/>
  <c r="I10" i="17"/>
  <c r="I10" i="16"/>
  <c r="E9" i="16"/>
  <c r="H10" i="16"/>
  <c r="D9" i="16"/>
  <c r="C9" i="16" s="1"/>
  <c r="F10" i="16"/>
  <c r="E10" i="16"/>
  <c r="H9" i="16"/>
  <c r="F9" i="16"/>
  <c r="D10" i="16"/>
  <c r="I9" i="16"/>
  <c r="I9" i="9"/>
  <c r="H9" i="9"/>
  <c r="F9" i="9"/>
  <c r="F11" i="10"/>
  <c r="G11" i="10"/>
  <c r="J11" i="10"/>
  <c r="I11" i="10"/>
  <c r="F9" i="11"/>
  <c r="I9" i="11"/>
  <c r="H9" i="11"/>
  <c r="J13" i="7"/>
  <c r="G13" i="7"/>
  <c r="I13" i="7"/>
  <c r="F13" i="7"/>
  <c r="F11" i="8"/>
  <c r="J11" i="8"/>
  <c r="I11" i="8"/>
  <c r="G11" i="8"/>
  <c r="E10" i="18"/>
  <c r="D10" i="18"/>
  <c r="C10" i="18" s="1"/>
  <c r="I9" i="18"/>
  <c r="H9" i="18"/>
  <c r="E9" i="18"/>
  <c r="D9" i="18"/>
  <c r="F10" i="18"/>
  <c r="F9" i="18"/>
  <c r="I10" i="18"/>
  <c r="H10" i="18"/>
  <c r="H10" i="12"/>
  <c r="D9" i="12"/>
  <c r="F10" i="12"/>
  <c r="D10" i="12"/>
  <c r="I9" i="12"/>
  <c r="H9" i="12"/>
  <c r="F9" i="12"/>
  <c r="I10" i="12"/>
  <c r="E9" i="12"/>
  <c r="E10" i="12"/>
  <c r="E11" i="13"/>
  <c r="D11" i="13"/>
  <c r="H10" i="13"/>
  <c r="G10" i="13"/>
  <c r="D10" i="13"/>
  <c r="H11" i="13"/>
  <c r="E10" i="13"/>
  <c r="G11" i="13"/>
  <c r="H9" i="6"/>
  <c r="I9" i="6"/>
  <c r="F9" i="6"/>
  <c r="I10" i="14"/>
  <c r="H10" i="14"/>
  <c r="F10" i="14"/>
  <c r="I11" i="14"/>
  <c r="E10" i="14"/>
  <c r="H11" i="14"/>
  <c r="D10" i="14"/>
  <c r="C10" i="14" s="1"/>
  <c r="F11" i="14"/>
  <c r="E11" i="14"/>
  <c r="D11" i="14"/>
  <c r="E9" i="6"/>
  <c r="D9" i="6"/>
  <c r="E11" i="8"/>
  <c r="E9" i="9"/>
  <c r="D9" i="9"/>
  <c r="C9" i="9" s="1"/>
  <c r="E9" i="11"/>
  <c r="D9" i="11"/>
  <c r="E13" i="7"/>
  <c r="D13" i="7" s="1"/>
  <c r="E11" i="10"/>
  <c r="C9" i="18" l="1"/>
  <c r="C10" i="13"/>
  <c r="C9" i="11"/>
  <c r="C9" i="6"/>
  <c r="C9" i="12"/>
  <c r="D11" i="8"/>
  <c r="D11" i="10"/>
  <c r="C10" i="16"/>
  <c r="C11" i="13"/>
  <c r="C10" i="12"/>
  <c r="C11" i="14"/>
  <c r="J10" i="10"/>
  <c r="I10" i="10"/>
  <c r="H10" i="10"/>
  <c r="G10" i="10"/>
  <c r="E10" i="10"/>
  <c r="J10" i="8"/>
  <c r="I10" i="8"/>
  <c r="H10" i="8"/>
  <c r="G10" i="8"/>
  <c r="J12" i="7"/>
  <c r="I12" i="7"/>
  <c r="G12" i="7"/>
</calcChain>
</file>

<file path=xl/sharedStrings.xml><?xml version="1.0" encoding="utf-8"?>
<sst xmlns="http://schemas.openxmlformats.org/spreadsheetml/2006/main" count="674" uniqueCount="248">
  <si>
    <t>Total</t>
  </si>
  <si>
    <t>11a</t>
  </si>
  <si>
    <t>11b</t>
  </si>
  <si>
    <t>GL</t>
  </si>
  <si>
    <t xml:space="preserve">Total
</t>
  </si>
  <si>
    <t>AR</t>
  </si>
  <si>
    <t>AI</t>
  </si>
  <si>
    <t>AG</t>
  </si>
  <si>
    <t>BE</t>
  </si>
  <si>
    <t>BL</t>
  </si>
  <si>
    <t>BS</t>
  </si>
  <si>
    <t>FR</t>
  </si>
  <si>
    <t>GE</t>
  </si>
  <si>
    <t>GR</t>
  </si>
  <si>
    <t>JU</t>
  </si>
  <si>
    <t>LU</t>
  </si>
  <si>
    <t>NE</t>
  </si>
  <si>
    <t>NW</t>
  </si>
  <si>
    <t>OW</t>
  </si>
  <si>
    <t>SG</t>
  </si>
  <si>
    <t>SH</t>
  </si>
  <si>
    <t>SO</t>
  </si>
  <si>
    <t>SZ</t>
  </si>
  <si>
    <t>TG</t>
  </si>
  <si>
    <t>TI</t>
  </si>
  <si>
    <t>UR</t>
  </si>
  <si>
    <t>VD</t>
  </si>
  <si>
    <t>VS</t>
  </si>
  <si>
    <t>ZG</t>
  </si>
  <si>
    <t>ZH</t>
  </si>
  <si>
    <t>Register</t>
  </si>
  <si>
    <t>Inhalt</t>
  </si>
  <si>
    <t>Dropdownlisten</t>
  </si>
  <si>
    <t>Auswahl mit "keine Angabe"</t>
  </si>
  <si>
    <t>SH ja/nein</t>
  </si>
  <si>
    <t>…..</t>
  </si>
  <si>
    <t>_</t>
  </si>
  <si>
    <t>-</t>
  </si>
  <si>
    <t>CH</t>
  </si>
  <si>
    <t>Altfälle ja/nein</t>
  </si>
  <si>
    <t>Kontrolle</t>
  </si>
  <si>
    <t>Anzahl Personen</t>
  </si>
  <si>
    <t>Anzahl Fälle</t>
  </si>
  <si>
    <t>Eintritte oder Personen erfasst</t>
  </si>
  <si>
    <t>Canton:</t>
  </si>
  <si>
    <t>Veuillez sélectionner:</t>
  </si>
  <si>
    <t>Date de l'autorisation:</t>
  </si>
  <si>
    <t>Contact:</t>
  </si>
  <si>
    <t xml:space="preserve">Nom: </t>
  </si>
  <si>
    <t>Tél.</t>
  </si>
  <si>
    <t>Courriel:</t>
  </si>
  <si>
    <t>Table des matières</t>
  </si>
  <si>
    <t>Indicateurs PIC</t>
  </si>
  <si>
    <t>Sommaire Indicateurs AIS</t>
  </si>
  <si>
    <t>Indicateur AIS N°1: «Primo-information»</t>
  </si>
  <si>
    <t xml:space="preserve">Indicateur AIS N°2: «Experience professionnelle» </t>
  </si>
  <si>
    <t>Indicateur AIS N°3: «Formation»</t>
  </si>
  <si>
    <t>Indicateur AIS N°4: «Alphabétisation»</t>
  </si>
  <si>
    <t>Indicateur AIS N°6: «Dossiers ouverts»</t>
  </si>
  <si>
    <t>Indicateur AIS N°7: «Encouragement de l'apprentissage de la langue chez les adultes»</t>
  </si>
  <si>
    <t>Indicateur AIS N°8: «Niveau de langue chez les adultes»</t>
  </si>
  <si>
    <t>Indicateur AIS N°9: «Encouragement de l'apprentissage de la langue chez les enfants d'âge préscolaire»</t>
  </si>
  <si>
    <t>Indicateur AIS N°11a: «Encouragement de l'aptitude à la formation» (16-25 ans)</t>
  </si>
  <si>
    <t>Indicateur AIS N°11b: «Encouragement de l'employabilité» (26-55 ans)</t>
  </si>
  <si>
    <t>Indicateur AIS N°14: «Vivre-ensemble»</t>
  </si>
  <si>
    <t>Date de la saisie des données:</t>
  </si>
  <si>
    <t xml:space="preserve">N. </t>
  </si>
  <si>
    <t>Indicateurs 
(circulaire PIC, chap. 7.1.2)</t>
  </si>
  <si>
    <t>Indicateurs opérationnalisés</t>
  </si>
  <si>
    <t>Explications</t>
  </si>
  <si>
    <t>Nombre total</t>
  </si>
  <si>
    <t>Remarques du canton</t>
  </si>
  <si>
    <r>
      <t xml:space="preserve">Nombre de personnes qu’il a été possible d’atteindre dans le cadre de la </t>
    </r>
    <r>
      <rPr>
        <b/>
        <sz val="11"/>
        <rFont val="Arial"/>
        <family val="2"/>
      </rPr>
      <t>primo-information</t>
    </r>
  </si>
  <si>
    <t>Type</t>
  </si>
  <si>
    <t>N°</t>
  </si>
  <si>
    <t>Indicateurs 
(Circulaire AIS, chap. 7.2)</t>
  </si>
  <si>
    <t>Nombre de R 
(incl. APR)</t>
  </si>
  <si>
    <t>Nombre d'AP</t>
  </si>
  <si>
    <t>Nombre de N</t>
  </si>
  <si>
    <t>Nombre de femmes</t>
  </si>
  <si>
    <t>Nombre d'hommes</t>
  </si>
  <si>
    <t xml:space="preserve">Sont considérés:
</t>
  </si>
  <si>
    <t>Primo-information et besoins en matière d’encouragement de l’intégration</t>
  </si>
  <si>
    <t>Cas régis par l'ancien droit
(avant le 1.5.19)</t>
  </si>
  <si>
    <t>que des cas dépendants de l'aide-sociale</t>
  </si>
  <si>
    <t>P</t>
  </si>
  <si>
    <t>Primo-information</t>
  </si>
  <si>
    <t>Nombre de R/AP de 16 ans ou plus ayant bénéficié, au cours le l'année sous revue, d'une primo-information</t>
  </si>
  <si>
    <t>C</t>
  </si>
  <si>
    <t>Expérience professionnelle</t>
  </si>
  <si>
    <t>Nombre de R/AP de 16 ans ou plus dont l’expérience professionnelle cumulée est:
- ≤ 1 an
- &gt; 1 ≤  5 ans 
- &gt; 5 ≤1 0 ans 
- &gt; 10 ans</t>
  </si>
  <si>
    <t xml:space="preserve">≤1 an expérience professionelle cumulée
</t>
  </si>
  <si>
    <t>&gt;1 ≤ 5 ans expérience professionelle cumulée</t>
  </si>
  <si>
    <t>&gt;5 ≤10 ans expérience professionelle cumulée</t>
  </si>
  <si>
    <t>&gt;10 ans expérience professionelle cumulée</t>
  </si>
  <si>
    <t>Formation</t>
  </si>
  <si>
    <t xml:space="preserve">Nombre de R/AP de 16 ans ou plus ayant fréquenté l’école:
- jusqu'au 6 ans (0-72 mois)
- plus de 6 ans (a partir de 73 mois)
</t>
  </si>
  <si>
    <t>≤6 ans</t>
  </si>
  <si>
    <t>&gt;6 ans</t>
  </si>
  <si>
    <t>Alphabétisation</t>
  </si>
  <si>
    <t>Nombre de R/AP de 16 ans ou plus non alphabétisés</t>
  </si>
  <si>
    <t>Potentiel</t>
  </si>
  <si>
    <t>Nombre de R/AP de 16 ans et plus, qui, d’après une première évaluation réalisée par la personne chargée de la gestion des cas, ont ou non le potentiel pour devenir aptes à intégrer le marché du travail ou à suivre une formation dans la perspective de la phase de première intégration.</t>
  </si>
  <si>
    <t>plutôt oui</t>
  </si>
  <si>
    <t>plutôt non</t>
  </si>
  <si>
    <t>Conseil</t>
  </si>
  <si>
    <t>Dossiers ouverts</t>
  </si>
  <si>
    <t>Nombre de nouveaux dossiers ouverts au cours de l’année sous revue dans le cadre de la gestion continue des cas</t>
  </si>
  <si>
    <t>Langue et Formation</t>
  </si>
  <si>
    <t>Encouragement de l’apprentissage de la langue chez les adultes</t>
  </si>
  <si>
    <t xml:space="preserve">Nombre de R/AP de 16 ans ou plus ayant bénéficié, au cours de l’année sous revue, d’une offre d’encouragement de l’apprentissage de la langue
</t>
  </si>
  <si>
    <t>O</t>
  </si>
  <si>
    <t>Niveau de langue chez les adultes</t>
  </si>
  <si>
    <t>Nombre de R/AP de 19 ans ou plus possédant au moins, trois ans après être entrés en Suisse, le niveau A1 du CECR, à l’oral et à l’écrit, dans la langue parlée sur leur lieu de résidence.</t>
  </si>
  <si>
    <t>Petite enfance</t>
  </si>
  <si>
    <t>Encouragement de l’apprentissage de la langue chez les enfants d’âge préscolaire</t>
  </si>
  <si>
    <t>Nombre de R/AP d’âge préscolaire, avant d’entrer à l’école obligatoire, ayant participé à des mesures d’encouragement linguistique précoce au cours de l’année sous revue</t>
  </si>
  <si>
    <t>Aptitude à la formation et employabilité</t>
  </si>
  <si>
    <t>Encouragement de l’aptitude à la formation</t>
  </si>
  <si>
    <t>Encouragement de l’employabilité</t>
  </si>
  <si>
    <t>Vivre-ensemble</t>
  </si>
  <si>
    <t>Nombre de R/AP de 16 ans ou plus ayant bénéficié, au cours de l’année sous revue, d’une offre/mesure visant en premier lieu à encourager l’intégration sociale</t>
  </si>
  <si>
    <t>Indicateur</t>
  </si>
  <si>
    <t>Femmes</t>
  </si>
  <si>
    <t>Hommes</t>
  </si>
  <si>
    <t>Précisions</t>
  </si>
  <si>
    <t>Remarques du Canton</t>
  </si>
  <si>
    <t>Indicateur opérationnalisé</t>
  </si>
  <si>
    <t>Univers statistique</t>
  </si>
  <si>
    <t>Indicateur AIS N°2: «Expérience professionnelle» - Indicateur de contexte</t>
  </si>
  <si>
    <t xml:space="preserve">≤ 1 an expérience professionelle cumulée
</t>
  </si>
  <si>
    <t>&gt; 1 ≤  5 ans expérience professionelle cumulée</t>
  </si>
  <si>
    <t>&gt; 5 ≤ 10 ans expérience professionelle cumulée</t>
  </si>
  <si>
    <t>&gt; 10 ans expérience professionelle cumulée</t>
  </si>
  <si>
    <t>Indicateur AIS N°3: «Formation» - Indicateur de contexte</t>
  </si>
  <si>
    <t>Nombre de R/AP de 16 ans ou plus ayant fréquenté l’école:
- jusqu'au 6 ans (0-72 mois)
- plus de 6 ans (dés 73 mois)</t>
  </si>
  <si>
    <t>Indicateur AIS N°4: «Alphabétisation» - Indicateur de contexte</t>
  </si>
  <si>
    <t>Nombre de nouveaux dossiers ouverts au cours de l’année sous revue dans le cadre de la gestion continue des cas.</t>
  </si>
  <si>
    <t>Sont considérés: 
(veuillez sélectionner:)</t>
  </si>
  <si>
    <r>
      <t xml:space="preserve">Saisie
</t>
    </r>
    <r>
      <rPr>
        <sz val="11"/>
        <rFont val="Arial"/>
        <family val="2"/>
      </rPr>
      <t>(veuillez sélectionner:)</t>
    </r>
  </si>
  <si>
    <t>le nombre de personnes qui ont participé à au moins une offre</t>
  </si>
  <si>
    <t>nombre d'offres fréquentées</t>
  </si>
  <si>
    <t>nombre de personnes ou nombre de participations</t>
  </si>
  <si>
    <t>Indicateur AIS N°8: «Niveau de langue chez les adultes» - Indicateur d'objectifs</t>
  </si>
  <si>
    <t>Évaluation de langue reconnue</t>
  </si>
  <si>
    <t>R/AP et personne chargée de la gestion des cas</t>
  </si>
  <si>
    <t>oui</t>
  </si>
  <si>
    <t>non</t>
  </si>
  <si>
    <t>pas d'information</t>
  </si>
  <si>
    <t>Évaluation par
(veuillez sélectionner:)</t>
  </si>
  <si>
    <t xml:space="preserve">Le canton mentionne, dans la colonne Remarques du canton, les types d’offres/mesures qu’il prend en compte lors de la saisie de cet indicateur. Il doit s’agir exclusivement de mesures visant principalement à encourager l’intégration sociale. </t>
  </si>
  <si>
    <t>Canton</t>
  </si>
  <si>
    <t>Univers statistique Indicateurs N°1-6</t>
  </si>
  <si>
    <t>Univers statistique Indicateur N° 7</t>
  </si>
  <si>
    <t>Univers statistique Indicateur N° 8</t>
  </si>
  <si>
    <t>Univers statistique Indicateur N° 9</t>
  </si>
  <si>
    <t>R (incl. APR)</t>
  </si>
  <si>
    <t>AP</t>
  </si>
  <si>
    <t>Univers statistique Indicateur N° 11a</t>
  </si>
  <si>
    <t>Univers statistique Indicateur N° 11b</t>
  </si>
  <si>
    <t>Univers statistique Indicateur N° 14</t>
  </si>
  <si>
    <t>Nombre de S</t>
  </si>
  <si>
    <t>S</t>
  </si>
  <si>
    <r>
      <t xml:space="preserve">Source: SEM/SYMIC, jour de référence: </t>
    </r>
    <r>
      <rPr>
        <b/>
        <u/>
        <sz val="11"/>
        <color theme="1"/>
        <rFont val="Arial"/>
        <family val="2"/>
      </rPr>
      <t>31.12.2022</t>
    </r>
  </si>
  <si>
    <t>Nombre de R/AP nés le 31.12.2006 ou avant, qui sont entrés en Suisse à partir du 1.1.2016 et qui étaient âgés d’au moins 16 ans lors de leur entrée dans le pays.</t>
  </si>
  <si>
    <t>Nombre de R/AP nés le 31.12.2002 ou avant, qui sont entrés en Suisse entre le 1.1. et l 31.12.2019</t>
  </si>
  <si>
    <t>Nombre de  R/AP le 31.12.2022 nés entre le 1.8.2018 et le 31.12.2022.</t>
  </si>
  <si>
    <t>Nombre de R/APnés entre le 1.1.1997 et le 31.12.2006, qui sont entrés en Suisse à partir du 1.1.2016 et qui étaient âgés d’au moins 16 ans lors de leur entrée dans le pays.</t>
  </si>
  <si>
    <t xml:space="preserve">Nombre de R/AP nés entre le 1.1.1967 et le 31.12.1996 et qui sont entrés en Suisse à partir du 1.1.2016. </t>
  </si>
  <si>
    <t>Nombre de R/AP nés le 31.12.2006 ou avant, qui sont entrés en Suisse à partir du 1.1.2016.</t>
  </si>
  <si>
    <t>Nombre de R/AP nés le 31.12.2006 ou avant, qui ont reçu une décision d’asile avec autorisation de séjour et qui étaient âgés d’au moins 16 ans lors de leur entrée dans le pays</t>
  </si>
  <si>
    <r>
      <t xml:space="preserve">Pour le rapport 2022: Nombre de R/AP </t>
    </r>
    <r>
      <rPr>
        <b/>
        <sz val="11"/>
        <rFont val="Arial"/>
        <family val="2"/>
      </rPr>
      <t>nés le 31.12.2006 ou avant</t>
    </r>
    <r>
      <rPr>
        <sz val="11"/>
        <rFont val="Arial"/>
        <family val="2"/>
      </rPr>
      <t xml:space="preserve">, ayant bénéficé, au cours de l'année sous revue, d'une primo-information. </t>
    </r>
  </si>
  <si>
    <r>
      <t>Pour le rapport 2022: Nombre de R/AP</t>
    </r>
    <r>
      <rPr>
        <b/>
        <sz val="11"/>
        <rFont val="Arial"/>
        <family val="2"/>
      </rPr>
      <t xml:space="preserve"> nés le 31.12.2006 ou avant</t>
    </r>
    <r>
      <rPr>
        <sz val="11"/>
        <rFont val="Arial"/>
        <family val="2"/>
      </rPr>
      <t>, dont l’expérience professionnelle cumulée est:
- ≤ 1 an
- &gt; 1 ≤  5 ans 
- &gt; 5 ≤1 0 ans 
- &gt; 10 ans</t>
    </r>
  </si>
  <si>
    <r>
      <t xml:space="preserve">Pour le rapport 2022: Nombre de R/AP </t>
    </r>
    <r>
      <rPr>
        <b/>
        <sz val="11"/>
        <rFont val="Arial"/>
        <family val="2"/>
      </rPr>
      <t>nés le 31.12.2006 ou avant</t>
    </r>
    <r>
      <rPr>
        <sz val="11"/>
        <rFont val="Arial"/>
        <family val="2"/>
      </rPr>
      <t xml:space="preserve">, ayant fréquenté l'école:
- jusqu'au 6 ans (0-72 mois)
- plus de 6 ans (dés 73 mois)
</t>
    </r>
  </si>
  <si>
    <r>
      <t xml:space="preserve">Pour le rapport 2022: Nombre de R/AP </t>
    </r>
    <r>
      <rPr>
        <b/>
        <sz val="11"/>
        <rFont val="Arial"/>
        <family val="2"/>
      </rPr>
      <t>nés le 31.12.2006 ou avant</t>
    </r>
    <r>
      <rPr>
        <sz val="11"/>
        <rFont val="Arial"/>
        <family val="2"/>
      </rPr>
      <t>, qui, d’après une première évaluation réalisée par la personne chargée de la gestion des cas, ont ou non le potentiel pour devenir aptes à intégrer le marché du travail ou à suivre une formation dans la perspective de la phase de première intégration.</t>
    </r>
  </si>
  <si>
    <t>Univers statistique prévu pour le rapport 2022 sur la base des données du SYMIC afin de contrôler la plausibilité et comparer les données entre les cantons: nombre de R/AP nés le 31.12.2006 ou avant, qui sont entrés en Suisse à partir du 1.1.2016 et qui étaient âgés d’au moins 16 ans lors de leur entrée dans le pays.</t>
  </si>
  <si>
    <r>
      <t xml:space="preserve">Pour le rapport 2022: Nombre de R/AP </t>
    </r>
    <r>
      <rPr>
        <b/>
        <sz val="11"/>
        <rFont val="Arial"/>
        <family val="2"/>
      </rPr>
      <t>nés le 31.12.2002 ou avant</t>
    </r>
    <r>
      <rPr>
        <sz val="11"/>
        <rFont val="Arial"/>
        <family val="2"/>
      </rPr>
      <t xml:space="preserve">, possédant au moins, trois ans après leur entrée en Suisse </t>
    </r>
    <r>
      <rPr>
        <b/>
        <sz val="11"/>
        <rFont val="Arial"/>
        <family val="2"/>
      </rPr>
      <t>(1.1.-31.12.2019)</t>
    </r>
    <r>
      <rPr>
        <sz val="11"/>
        <rFont val="Arial"/>
        <family val="2"/>
      </rPr>
      <t xml:space="preserve">, le niveau A1 du CECR, à l'oral et à l'ecrit, dans la langue parlée sur leur lieu de résidence.
</t>
    </r>
  </si>
  <si>
    <t>Univers statistique prévu pour le rapport 2022 sur la base des données du SYMIC afin de contrôler la plausibilité et comparer les données entre les cantons: nombre de R/AP nés le 31.12.2002 ou avant, qui sont entrés en Suisse au cours de l'année 2019 (1.1.-31.12.2019).</t>
  </si>
  <si>
    <r>
      <t>Pour le rapport 2022: Nombre de R/AP d’âge préscolaire (</t>
    </r>
    <r>
      <rPr>
        <b/>
        <sz val="11"/>
        <rFont val="Arial"/>
        <family val="2"/>
      </rPr>
      <t>nés entre le 1.8.2018 et le 31.12.2022</t>
    </r>
    <r>
      <rPr>
        <sz val="11"/>
        <rFont val="Arial"/>
        <family val="2"/>
      </rPr>
      <t>), avant d’entrer à l’école obligatoire, ayant participé à des mesures d’encouragement linguistique précoce au cours de l’année sous revue.</t>
    </r>
  </si>
  <si>
    <t>Pour le rapport 2022: Nombre de R/AP nés le 31.12.2006 ou avant, ayant bénéficié, au cours de l’année sous revue, d’une offre/mesure visant en premier lieu à encourager l’intégration sociale,</t>
  </si>
  <si>
    <t>Univers statistique prévu pour le rapport 2022 sur la base des données du SYMIC afin de contrôler la plausibilité et comparer les données entre les cantons: nombre de R/AP nés le 31.12.2006 ou avant, qui sont entrés en Suisse à partir du 1.1.2016.</t>
  </si>
  <si>
    <t>Univers statistique AIS: Effectif des R/AP</t>
  </si>
  <si>
    <t>Grille des indicateurs PIC / AIS - Année de référence 2022</t>
  </si>
  <si>
    <t>Indicateur AIS N°5: «Potentiel»</t>
  </si>
  <si>
    <t>Nombre d’étrangers titulaires d’un permis B, C (en dehors du domaine de l'asile) et L avec lesquels un premier entretien bilatéral a été mené ou qui ont participé à une séance d'information au cours de l'année sous revue.</t>
  </si>
  <si>
    <t xml:space="preserve">Nombre d'étrangers titulaires d'un permis B, C (en dehors du domaine de l'asile et des réfugiés) et L avec lesquels, au cours de l'année sous revue, une consulation financée via le domaine d'encouragement «Conseil» a été menée. </t>
  </si>
  <si>
    <t xml:space="preserve">Nombre d'étrangers titulaires d'un permis B, C (en dehors du domaine de l'asile et des réfugiés) et L avec lesquels, au cours de l'année sous revue, une consulation financée via le domaine d'encouragement «Protection contre la discrimination» a été menée. </t>
  </si>
  <si>
    <t xml:space="preserve">Doivent être comptabilisées toutes les personnes ayant bénéficié, au cours de l’année sous revue, d’une consultation financée via le domaine d'encouragement «Conseil». </t>
  </si>
  <si>
    <t xml:space="preserve">Doivent être comptabilisées toutes les personnes ayant bénéficié, au cours de l’année sous revue, d’une consultation financée via le domaine d'encouragement «Protection contre la discrimination». </t>
  </si>
  <si>
    <t>Indicateur AIS N°1 : «Primo-information» - Indicateur de prestations</t>
  </si>
  <si>
    <t>Indicateur AIS N°5: «Potentiel» - Indicateur de contexte</t>
  </si>
  <si>
    <t>Indicateur AIS N°6: «Dossiers ouverts» - Indicateur de prestations</t>
  </si>
  <si>
    <t>Indicateur AIS N°7: «Encouragement de l'apprentissage de la langue chez les adultes» - Indicateur de prestations</t>
  </si>
  <si>
    <t>Pour le rapport 2022: Nombre de R/AP nés le 31.12.2006 ou avant, ayant bénéficié, au cours de l’année sous revue, d’une offre d’encouragement de l’apprentissage de la langue.</t>
  </si>
  <si>
    <t>Doivent être comptabilisés les R/AP pour lesquelles le service chargé de la gestion des cas a ouvert un nouveau dossier au cours de l’année sous revue.</t>
  </si>
  <si>
    <t xml:space="preserve">Doivent être comptabilisés dans la gestion des cas, les R/AP avec lesquels une première évaluation des ressources individuelles ou un premier entretien a eu lieu durant l’année sous revue. Dans certains cantons, cette première évaluation ou ce premier entretien est organisé à l’ouverture du dossier.
Les données fournies aux indicateurs 2 à 5 reposent sur une déclaration des R/AP et ne peuvent/doivent pas être approfondies par la personne chargée de la gestion des cas. Une seule saisie de ces données suffit pour le relevé des indicateurs.
</t>
  </si>
  <si>
    <t>Doivent être comptabilisés tous les R/AP qui ne possèdent aucune connaissance écrite de leur langue maternelle.
Doivent être pris en compte dans la gestion des cas, les R/AP avec lesquels une première évaluation des ressources individuelles ou un premier entretien a eu lieu durant l’année sous revue.
Les données fournies aux indicateurs 2 à 5 reposent sur une déclaration des R/AP et ne peuvent/doivent pas être approfondies par la personne chargée de la gestion des cas. Une seule saisie de ces données suffit pour le relevé des indicateurs.</t>
  </si>
  <si>
    <t>Que des cas dépendants de l'aide-sociale</t>
  </si>
  <si>
    <t>Enseignant de langue</t>
  </si>
  <si>
    <t>Nombre de R/AP dans la gestion de cas durant l’année sous revue, en âge préscolaire.
Il faut compter les mesures visant à encourager la formation linguistique des enfants.</t>
  </si>
  <si>
    <r>
      <t xml:space="preserve">Pour le rapport 2022: Nombre de R/AP </t>
    </r>
    <r>
      <rPr>
        <b/>
        <sz val="11"/>
        <rFont val="Arial"/>
        <family val="2"/>
      </rPr>
      <t>nés le 31.12.2006 ou avant</t>
    </r>
    <r>
      <rPr>
        <sz val="11"/>
        <rFont val="Arial"/>
        <family val="2"/>
      </rPr>
      <t xml:space="preserve"> non alphabétisés.</t>
    </r>
  </si>
  <si>
    <t xml:space="preserve">Doivent être comptabilisés tous les R/AP qui ont bénéficié, au cours de l’année sous revue, d’une première information, indépendamment du fait qu'ils aient reçu une décision d'asile assortie d'une autorisa-tion de séjour au cours de l'année sous revue ou de l'année précédente. . 
Seuls les (premiers) entretiens bilatéraux et les séances d’information font partie de la primo-information.
Il y a lieu d’admettre que la première information se déroule dans les mois qui suivent l’attribution et en une seule fois. Certains cantons organisent la première information durant la procédure d’asile (étendue), d’autres après la décision d’asile.
</t>
  </si>
  <si>
    <t>Indicateur AIS N°11a:  «Encouragement de l'aptitude à la formation» - Indicateur de prestations</t>
  </si>
  <si>
    <t>Univers statistique prévu pour le rapport 2022 sur la base des données du SYMIC afin de contrôler la plausibilité et comparer les données entre les cantons: Nombre de R/AP nés entre le 1.1.1997 et le 31.12.2006, qui sont entrés en Suisse à partir du 1.1.2016 et qui étaient âgés d’au moins 16 ans lors de leur entrée dans le pays.</t>
  </si>
  <si>
    <t>Indicateur AIS N°11b: «Encouragement de l'employabilité» - Indicateur de prestations</t>
  </si>
  <si>
    <t>Univers statistique prévu pour le rapport 2022 sur la base des données du SYMIC afin de contrôler la plausibilité et comparer les données entre les cantons: nombre de  R/AP nés entre le 1.8.2018 et le 31.12.2022.</t>
  </si>
  <si>
    <t xml:space="preserve">Univers statistique prévu pour le rapport 2022 sur la base des données du SYMIC afin de contrôler la plausibilité et comparer les données entre les cantons: Nombre de R/AP nés entre le 1.1.1967 et le 31.12.1996 et qui sont entrés en Suisse à partir du 1.1.2016. </t>
  </si>
  <si>
    <t>Indicateur AIS 14 «Vivre-ensemble» - Indicateur de prestations</t>
  </si>
  <si>
    <t>Nombre de R/AP de 16 ans ou plus ayant bénéficié, au cours de l’année sous revue, d’une offre/mesure visant en premier lieu à encourager l’intégration sociale.</t>
  </si>
  <si>
    <t>Nombre de R/AP d’âge préscolaire ayant participé, avant d’entrer à l’école obligatoire, à des mesures d’encouragement linguistique précoce au cours de l’année sous revue.</t>
  </si>
  <si>
    <t>Nombre de R/AP de 16 ans ou plus ayant bénéficié, au cours de l’année sous revue, d’une offre d’encouragement de l’apprentissage de la langue.</t>
  </si>
  <si>
    <t>Nombre de R/AP die 16 ans ou plus non alphabétisés.</t>
  </si>
  <si>
    <t>Nombre de R/AP de 16 ans ou plus ayant bénéficié, au cours le l'année sous revue, d'une primo-information.</t>
  </si>
  <si>
    <t>Etat au</t>
  </si>
  <si>
    <t>État au</t>
  </si>
  <si>
    <r>
      <t xml:space="preserve">Quelle: SEM/ZEMIS, jour de référence </t>
    </r>
    <r>
      <rPr>
        <b/>
        <u/>
        <sz val="11"/>
        <color theme="1"/>
        <rFont val="Arial"/>
        <family val="2"/>
      </rPr>
      <t>: 31.12.2022</t>
    </r>
  </si>
  <si>
    <t>Univers statistique AIS: R/AP avec décision d'asile à partir du 1 mai 2019 (AIS entré en vigueur)</t>
  </si>
  <si>
    <t xml:space="preserve">Nombre de R/AP inclus </t>
  </si>
  <si>
    <r>
      <t xml:space="preserve">Nombre de personnes ayant bénéficié de consultations dans le domaine d'encouragement </t>
    </r>
    <r>
      <rPr>
        <b/>
        <sz val="11"/>
        <rFont val="Arial"/>
        <family val="2"/>
      </rPr>
      <t xml:space="preserve">«Conseil» </t>
    </r>
  </si>
  <si>
    <r>
      <t>Nombre de personnes ayant bénéficié de consultations dans le domaine d'encouragement «</t>
    </r>
    <r>
      <rPr>
        <b/>
        <sz val="11"/>
        <rFont val="Arial"/>
        <family val="2"/>
      </rPr>
      <t>Protection contre la discrimination</t>
    </r>
    <r>
      <rPr>
        <sz val="11"/>
        <rFont val="Arial"/>
        <family val="2"/>
      </rPr>
      <t xml:space="preserve">» </t>
    </r>
  </si>
  <si>
    <t xml:space="preserve">Nombre de personnes ayant suivi une offre d'encouragement de l'apprentissage de la langue </t>
  </si>
  <si>
    <t>Nombre d’étrangers titulaires d’un permis B, C (en dehors du domaine de l'asile) et L ayant participé, au cours de l’année sous revue, à une offre d’encouragement de l’apprentissage de la langue.</t>
  </si>
  <si>
    <t>Doivent être comptabilisées toutes les personnes ayant suivi, au cours de l'année sous revue, une offre d'encouragement linguistique. Chaque personne n'est comptée qu'une seule fois même si elle a suivi plusieurs offres différentes. Si la participation à l'offre est interrompue ou annulée, l'entrée est tout de même comptabilisée. 
Le canton mentionne, dans la colonne Remarques du canton, les offres d’encouragement de l’apprentissage de la langue qu’il prend en compte lors de la saisie de cet indicateur.</t>
  </si>
  <si>
    <r>
      <t>Nombre de personnes ayant suivi une offre dans le domaine d’encouragement «</t>
    </r>
    <r>
      <rPr>
        <b/>
        <sz val="11"/>
        <rFont val="Arial"/>
        <family val="2"/>
      </rPr>
      <t>Employabilité»</t>
    </r>
  </si>
  <si>
    <t>Nombre d’étrangers titulaires d’un permis B, C (en dehors du domaine de l'asile) et L ayant participé, au cours de l’année sous revue, à une offre d'encouragement de l'aptitude à l’employabilité.</t>
  </si>
  <si>
    <t>Doivent être comptabilisées toutes les personnes ayant suivi, au cours de l’année sous revue, une offre d'encouragement de l'aptitude à l’employabilité. Chaque personne n'est comptée qu'une seule fois même si elle a suivi plusieurs offres différentes. Si la participation à l'offre est interrompue ou annulée, l'entrée est tout de même comptabilisée. 
En règle générale, il s'agit d'offres de qualification sur le marché du travail primaire et secondaire. 
Le canton mentionne, dans la colonne Remarques du canton, les types d’offres qu’il prend en compte lors de la saisie de cet indicateur. Les offres proposées aux AP/R principalement dans le but d’encourager l’apprentissage de la langue ne doivent pas être comptabilisées.</t>
  </si>
  <si>
    <t>Univers statistique prévu pour le rapport 2022 sur la base des données du SYMIC afin de contrôler la plausibilité et comparer les données entre les cantons (vaut pour les indicateurs 1 à 6): nombre de R/AP, nés le 31.12.2006 ou avant, qui ont reçu une décision d’asile avec autorisation de séjour au cours de l'année sous revue et qui étaient âgés d’au moins 16 ans lors de leur entrée dans le pays.</t>
  </si>
  <si>
    <t>Doivent être comptabilisés dans la gestion des cas, les R/AP avec lesquels une première évaluation des ressources individuelle ou un premier entretien a eu lieu durant l’année sous revue. Dans certains cantons, cette première évaluation ou ce premier entretien est organisé à l’ouverture du dossier. 
Toute expérience professionnelle rémunérée à l’étranger, dans le pays de provenance, lors de la fuite ou en Suisse doit être prise en compte. Les expériences professionnelles réalisées dans le cadre d’une formation comptent aussi.
Au plus tard à partir du PIC 3 (à partir de l'année de référence 2024), les cantons devront saisir le nombre d'années d'expérience professionnelle sous forme de valeur numérique et l'indiquer dans la grille d'indicateurs.
Les données fournies aux indicateurs 2 à 5 reposent sur une déclaration des R/AP et ne peuvent/doivent pas être approfondies par la personne chargée de la gestion des cas. Une seule saisie de ces données suffit pour le relevé des indicateurs.</t>
  </si>
  <si>
    <t>Doivent être comptabilisés dans la gestion des cas, les R/AP avec lesquels une première évaluation des ressources individuelles ou un premier entretien a eu lieu durant l’année sous revue.
La localité des écoles fréquentées (dans le pays de provenance, lors de la fuite ou ailleurs en dehors de la Suisse) est sans importance.
Au plus tard à partir du PIC 3 (à partir de l'année de référence 2024), les cantons devront saisir le nombre d'années de scolarité accomplies sous forme de valeur numérique et l'indiquer dans la grille d'indicateurs.
Les données fournies aux indicateurs 2 à 5 reposent sur une déclaration des R/AP et ne peuvent/doivent pas être approfondies par la personne chargée de la gestion des cas. Une seule saisie de ces données suffit pour le relevé des indicateurs.</t>
  </si>
  <si>
    <t>Univers statistique AIS: R/AP avec décision au cours de l’année sous revue (feuille 16)*</t>
  </si>
  <si>
    <t>Doivent être comptabilisés tous les R/AP qui, au cours de l'année sous revue, ont participé à une offre d'encouragement de l'apprentissage de la langue après y avoir été attribués par le service chargé de la gestion des cas. Chaque personne n'est comptée qu'une seule fois même si elle a suivi plusieurs offres différentes. 
Si la participation à l'offre est interrompue ou annulée, l'entrée est tout de même comptabilisée. 
A partir du PIC 3 (à partir de l'année de référence 2024), les cantons devront différencier le nombre de R/AP par année d'entrée et l'indiquer dans la grille des indicateurs. Le premier nombre d'entrées à être indiqué est celui de l'année 2018 (2024 : 7 ans en Suisse).</t>
  </si>
  <si>
    <t>Univers statistique AIS: R/AP avec décision à partir du 1.5.2019 (feuille 16)*</t>
  </si>
  <si>
    <t>Univers statistique AIS: R/AP entrés en Suisse à partir du 1.1.2016 (feuille 17)*</t>
  </si>
  <si>
    <t xml:space="preserve">Nombre de R/AP dans la gestion de cas durant l’année sous revue, âgés d’au moins 19 ans, entrés en Suisse trois ans avant l’année sous revue (cohorte).
Si possible, le canton indique comment il compte évaluer le niveau de langue (sélection multiple possible):
• évaluation de langue reconnue 
• évaluation par l’enseignant de langue
• évaluation commune par la personne chargée de la gestion des cas et l’AP/R
A partir du PIC 3 (à partir de l'année de référence 2024), il est recommandé aux cantons d'enregistrer le niveau de langue des R/AP. L'indication dans la grille d'indicateurs (nombre de R/AP avec un niveau de langue A1/A2, nombre de R/AP avec un niveau de langue B1/B2, nombre de R/AP avec un niveau de langue C1/C2) reste toutefois facultative.
</t>
  </si>
  <si>
    <t>Univers statistique AIS: R/AP entrés en Suisse du 1.1.- 31.12.2019 (feuille 17)*</t>
  </si>
  <si>
    <t>Univers statistique AIS: R/AP entrés en Suisse à partir du 1.8.2018 (feuille 17)*</t>
  </si>
  <si>
    <t>Nombre de R/AP entre 16 et 25 ans ayant participé, au cours de l’année sous revue, à une offre visant à encourager l’aptitude à la formation (et/ou l’employabilité).</t>
  </si>
  <si>
    <t>Pour le rapport 2022: Nombre de R/AP entre 16 et 25 ans (nés entre le 1.1.1997 et le 31.12.2006) ayant participé, au cours de l’année sous revue, à une offre visant à encourager l’aptitude à la formation (et/ou l’employabilité).</t>
  </si>
  <si>
    <t>Doivent être comptabilisés tous les R/AP qui ont participé, au cours de l’année sous revue, à une offre visant à encourager l’aptitude à la formation (et/ou l'employabilité). Chaque personne n'est comptée qu'une seule fois même si elle a suivi plusieurs offres différentes. Si la participation à l'offre est interrompue ou annulée, l'entrée est tout de même comptabilisée. 
En règle générale, il s’agit d’offres visant à développer les compétences de base (mathématiques du quotidien et TIC) ou à préparer à la formation (professionnelle initiale) ou encore d’offres de la transition 1 (offres de formation transitoires).
Dans la pratique, il n’est généralement pas possible de séparer clairement les offres visant à encourager l’aptitude à la formation de celles visant à développer l’employabilité. Au final, le service chargé de la gestion des cas décide (sur la base du plan d’intégration individuel du R/AP) si l’offre X vise à encourager l’aptitude à la formation ou à développer l’employabilité. En principe, selon l’AIS, l’encouragement de l’aptitude à la formation est prioritaire pour les R/AP entre 16 et 25 ans tout comme l’est l’encouragement de l’employabilité pour les R/AP entre 26 et 55 ans. Dans le cas de l’indicateur 11, la tranche d’âge est donc décisive. 
Le canton mentionne, dans la colonne Remarques du canton, la manière dont le nombre indiqué se compose, c’est-à-dire les types d’offres qu’il prend en compte lors de la saisie de cet indicateur. Les offres proposées aux R/AP principalement dans le but d’encourager l’apprentissage de la langue ne doivent pas être comptabilisées.</t>
  </si>
  <si>
    <t xml:space="preserve">Pour le rapport 2022: Nombre de R/AP entre 26 et 55 ans (nés entre le 1.1.1967 et le 31.12.1996) ayant participé, au cours de l’année sous revue, à une offre visant à encourager l’aptitude à l’employabilité (et/ou la formation). </t>
  </si>
  <si>
    <t>Doivent être comptabilisés tous les R/AP qui ont participé, au cours de l’année sous revue, à une offre visant à développer l’employabilité (et l’aptitude à la formation). Chaque personne n'est comptée qu'une seule fois même si elle a suivi plusieurs offres différentes. Si la participation à l'offre est interrompue ou annulée, l'entrée est tout de même comptabilisée. 
En règle générale, il s'agit d'offres de qualification sur le marché du travail primaire et secondaire. 
Dans la pratique, il n’est généralement pas possible de séparer clairement les offres visant à encourager l’aptitude à la formation de celles visant à développer l’employabilité. Au final, le service chargé de la gestion des cas décide (sur la base du plan d’intégration individuel du R/AP) si l’offre X vise à encourager l’aptitude à la formation ou à développer l’employabilité. En principe, selon l’AIS, l’encouragement de l’aptitude à la formation est prioritaire pour les R/AP entre 16 et 25 ans tout comme l’est l’encouragement de l’employabilité pour les R/AP entre 26 et 55 ans. Dans le cas de l’indicateur 11, la tranche d’âge est donc décisive. 
Le canton mentionne, dans la colonne Remarques du canton, la manière dont le nombre indiqué se compose, c’est-à-dire les types d’offres qu’il prend en compte lors de la saisie de cet indicateur. Les offres proposées aux R/AP principalement dans le but d’encourager l’apprentissage de la langue ne doivent pas être comptabilisées.</t>
  </si>
  <si>
    <t>Nombre de R/AP entre 26 et 55 ans ayant participé, au cours de l’année sous revue, à une offre visant à encourager l’aptitude à l’employabilité (et/ou à la formation).</t>
  </si>
  <si>
    <t>Indicateur AIS N°9: «Encouragement linguistique précoce chez les enfants d'âge préscolaire» - Indicateur de prestations</t>
  </si>
  <si>
    <t>Doivent être comptabilisées toutes les personnes ayant bénéficié, au cours de l’année sous revue, d’une première information. La primo-information comprend uniquement les (premiers) entretiens bilatéraux et les séances d'information. 
Le canton mentionne, dans la colonne Remarques du canton, la manière dont le nombre indiqué se compose, c’est-à-dire les formes de primo-information qu’il prend en compte.</t>
  </si>
  <si>
    <t>Nombre de R/AP entre 16 et 25 ans ayant participé, au cours de l’année sous revue, à une offre visant à encourager l’aptitude à la formation (et/ou l’employabilité)</t>
  </si>
  <si>
    <t xml:space="preserve">Nombre de R/AP entre 26 et 55 ans ayant participé, au cours de l’année sous revue, à une offre visant à encourager l’aptitude à la l’employabilité (et/ou formation) </t>
  </si>
  <si>
    <t xml:space="preserve">*Les univers statistiques « Total », « Femmes » et « Hommes » comprennent tous les R et AP. Les personnes avec un statut de protection S ne sont pas pris en compte. </t>
  </si>
  <si>
    <t>*Les univers statistiques « Total », « Femmes » et « Hommes » comprennent tous les R et AP. Les personnes avec un statut de protection S ne sont pas pris en compte.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</si>
</sst>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Arial"/>
      <family val="2"/>
    </font>
    <font>
      <b/>
      <sz val="11"/>
      <color theme="1"/>
      <name val="Arial"/>
      <family val="2"/>
    </font>
    <font>
      <sz val="10"/>
      <name val="Arial"/>
      <family val="2"/>
    </font>
    <font>
      <sz val="11"/>
      <name val="Arial"/>
      <family val="2"/>
    </font>
    <font>
      <b/>
      <sz val="11"/>
      <name val="Arial"/>
      <family val="2"/>
    </font>
    <font>
      <b/>
      <i/>
      <sz val="11"/>
      <name val="Arial"/>
      <family val="2"/>
    </font>
    <font>
      <b/>
      <sz val="14"/>
      <name val="Arial"/>
      <family val="2"/>
    </font>
    <font>
      <b/>
      <sz val="20"/>
      <name val="Arial"/>
      <family val="2"/>
    </font>
    <font>
      <b/>
      <sz val="22"/>
      <name val="Arial"/>
      <family val="2"/>
    </font>
    <font>
      <sz val="18"/>
      <color theme="1"/>
      <name val="Arial"/>
      <family val="2"/>
    </font>
    <font>
      <sz val="20"/>
      <color theme="1"/>
      <name val="Arial"/>
      <family val="2"/>
    </font>
    <font>
      <sz val="22"/>
      <color theme="1"/>
      <name val="Arial"/>
      <family val="2"/>
    </font>
    <font>
      <b/>
      <sz val="22"/>
      <color theme="1"/>
      <name val="Arial"/>
      <family val="2"/>
    </font>
    <font>
      <b/>
      <sz val="16"/>
      <color theme="1"/>
      <name val="Arial"/>
      <family val="2"/>
    </font>
    <font>
      <b/>
      <sz val="20"/>
      <color theme="1"/>
      <name val="Arial"/>
      <family val="2"/>
    </font>
    <font>
      <b/>
      <sz val="24"/>
      <color theme="0"/>
      <name val="Arial"/>
      <family val="2"/>
    </font>
    <font>
      <b/>
      <sz val="22"/>
      <color theme="0"/>
      <name val="Arial"/>
      <family val="2"/>
    </font>
    <font>
      <sz val="20"/>
      <name val="Arial"/>
      <family val="2"/>
    </font>
    <font>
      <b/>
      <sz val="11"/>
      <color theme="7" tint="-0.499984740745262"/>
      <name val="Arial"/>
      <family val="2"/>
    </font>
    <font>
      <b/>
      <sz val="11"/>
      <color theme="5" tint="-0.499984740745262"/>
      <name val="Arial"/>
      <family val="2"/>
    </font>
    <font>
      <b/>
      <sz val="10"/>
      <color theme="1"/>
      <name val="Arial"/>
      <family val="2"/>
    </font>
    <font>
      <b/>
      <u/>
      <sz val="11"/>
      <color theme="1"/>
      <name val="Arial"/>
      <family val="2"/>
    </font>
    <font>
      <b/>
      <sz val="11"/>
      <color rgb="FFFF0000"/>
      <name val="Arial"/>
      <family val="2"/>
    </font>
    <font>
      <b/>
      <sz val="10"/>
      <name val="Arial"/>
      <family val="2"/>
    </font>
    <font>
      <u/>
      <sz val="11"/>
      <color theme="10"/>
      <name val="Arial"/>
      <family val="2"/>
    </font>
    <font>
      <b/>
      <sz val="11"/>
      <color rgb="FF5F2C09"/>
      <name val="Arial"/>
      <family val="2"/>
    </font>
    <font>
      <b/>
      <sz val="12"/>
      <color theme="1"/>
      <name val="Arial"/>
      <family val="2"/>
    </font>
    <font>
      <b/>
      <u/>
      <sz val="14"/>
      <color theme="8" tint="-0.249977111117893"/>
      <name val="Arial"/>
      <family val="2"/>
    </font>
    <font>
      <sz val="11"/>
      <color theme="0"/>
      <name val="Arial"/>
      <family val="2"/>
    </font>
    <font>
      <b/>
      <sz val="16"/>
      <name val="Arial"/>
      <family val="2"/>
    </font>
    <font>
      <b/>
      <sz val="20"/>
      <color theme="0"/>
      <name val="Arial"/>
      <family val="2"/>
    </font>
    <font>
      <b/>
      <sz val="18"/>
      <color theme="0"/>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bgColor indexed="64"/>
      </patternFill>
    </fill>
    <fill>
      <patternFill patternType="solid">
        <fgColor theme="7"/>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ck">
        <color indexed="64"/>
      </bottom>
      <diagonal/>
    </border>
    <border>
      <left style="medium">
        <color indexed="64"/>
      </left>
      <right/>
      <top style="thin">
        <color indexed="64"/>
      </top>
      <bottom/>
      <diagonal/>
    </border>
  </borders>
  <cellStyleXfs count="3">
    <xf numFmtId="0" fontId="0" fillId="0" borderId="0"/>
    <xf numFmtId="0" fontId="2" fillId="0" borderId="0"/>
    <xf numFmtId="0" fontId="24" fillId="0" borderId="0" applyNumberFormat="0" applyFill="0" applyBorder="0" applyAlignment="0" applyProtection="0"/>
  </cellStyleXfs>
  <cellXfs count="546">
    <xf numFmtId="0" fontId="0" fillId="0" borderId="0" xfId="0"/>
    <xf numFmtId="0" fontId="3" fillId="0" borderId="0" xfId="0" applyFont="1"/>
    <xf numFmtId="0" fontId="4" fillId="0" borderId="0" xfId="0" applyFont="1" applyAlignment="1">
      <alignment wrapText="1"/>
    </xf>
    <xf numFmtId="0" fontId="3" fillId="0" borderId="0" xfId="0" applyFont="1" applyAlignment="1">
      <alignment wrapText="1"/>
    </xf>
    <xf numFmtId="0" fontId="3" fillId="0" borderId="0" xfId="0" applyFont="1" applyFill="1" applyAlignment="1">
      <alignment wrapText="1"/>
    </xf>
    <xf numFmtId="0" fontId="4" fillId="0" borderId="0" xfId="0" applyFont="1" applyFill="1" applyAlignment="1">
      <alignment wrapText="1"/>
    </xf>
    <xf numFmtId="0" fontId="3" fillId="0" borderId="0" xfId="0" applyFont="1" applyAlignment="1">
      <alignment horizontal="left" vertical="top" wrapText="1"/>
    </xf>
    <xf numFmtId="0" fontId="6" fillId="0" borderId="0" xfId="0" applyFont="1" applyAlignment="1">
      <alignment vertical="top"/>
    </xf>
    <xf numFmtId="0" fontId="4" fillId="0" borderId="30" xfId="0" applyFont="1" applyBorder="1" applyAlignment="1">
      <alignment horizontal="left" vertical="top" textRotation="90" wrapText="1"/>
    </xf>
    <xf numFmtId="0" fontId="4" fillId="0" borderId="33" xfId="0" applyFont="1" applyBorder="1" applyAlignment="1">
      <alignment horizontal="left" vertical="top" wrapText="1"/>
    </xf>
    <xf numFmtId="0" fontId="3" fillId="0" borderId="21" xfId="0" applyNumberFormat="1" applyFont="1" applyBorder="1" applyAlignment="1">
      <alignment horizontal="left" vertical="top" wrapText="1"/>
    </xf>
    <xf numFmtId="0" fontId="3" fillId="0" borderId="0" xfId="0" applyFont="1" applyBorder="1" applyAlignment="1">
      <alignment horizontal="left" vertical="top"/>
    </xf>
    <xf numFmtId="0" fontId="3" fillId="3" borderId="0" xfId="0" applyFont="1" applyFill="1" applyBorder="1" applyAlignment="1">
      <alignment horizontal="left" vertical="top" wrapText="1"/>
    </xf>
    <xf numFmtId="0" fontId="3" fillId="3" borderId="0" xfId="0" applyFont="1" applyFill="1"/>
    <xf numFmtId="0" fontId="3" fillId="3" borderId="0" xfId="0" applyFont="1" applyFill="1" applyBorder="1"/>
    <xf numFmtId="0" fontId="6" fillId="3" borderId="0" xfId="0" applyFont="1" applyFill="1" applyAlignment="1">
      <alignment horizontal="left" vertical="top"/>
    </xf>
    <xf numFmtId="0" fontId="3" fillId="3" borderId="0" xfId="0" applyFont="1" applyFill="1" applyAlignment="1">
      <alignment horizontal="left" vertical="top" wrapText="1"/>
    </xf>
    <xf numFmtId="0" fontId="3" fillId="3" borderId="0" xfId="0" applyFont="1" applyFill="1" applyAlignment="1">
      <alignment horizontal="left"/>
    </xf>
    <xf numFmtId="0" fontId="4" fillId="4" borderId="45" xfId="0" applyFont="1" applyFill="1" applyBorder="1" applyAlignment="1">
      <alignment horizontal="left" vertical="top"/>
    </xf>
    <xf numFmtId="0" fontId="4" fillId="4" borderId="12" xfId="0" applyFont="1" applyFill="1" applyBorder="1" applyAlignment="1">
      <alignment horizontal="left" vertical="top"/>
    </xf>
    <xf numFmtId="0" fontId="4" fillId="4" borderId="51" xfId="0" applyFont="1" applyFill="1" applyBorder="1" applyAlignment="1">
      <alignment horizontal="left" vertical="top"/>
    </xf>
    <xf numFmtId="0" fontId="3" fillId="3" borderId="11" xfId="0" applyFont="1" applyFill="1" applyBorder="1" applyAlignment="1">
      <alignment vertical="top" wrapText="1"/>
    </xf>
    <xf numFmtId="0" fontId="3" fillId="3" borderId="17" xfId="0" applyFont="1" applyFill="1" applyBorder="1" applyAlignment="1">
      <alignment horizontal="left" vertical="top" wrapText="1"/>
    </xf>
    <xf numFmtId="0" fontId="3" fillId="3" borderId="47" xfId="0" applyFont="1" applyFill="1" applyBorder="1" applyAlignment="1">
      <alignment horizontal="left" vertical="top" wrapText="1"/>
    </xf>
    <xf numFmtId="0" fontId="3" fillId="0" borderId="5" xfId="0" applyNumberFormat="1" applyFont="1" applyBorder="1" applyAlignment="1">
      <alignment horizontal="left" vertical="top" wrapText="1"/>
    </xf>
    <xf numFmtId="0" fontId="4" fillId="2" borderId="30" xfId="0" applyFont="1" applyFill="1" applyBorder="1" applyAlignment="1">
      <alignment horizontal="left" vertical="top" wrapText="1"/>
    </xf>
    <xf numFmtId="3" fontId="3" fillId="0" borderId="7" xfId="0" applyNumberFormat="1" applyFont="1" applyBorder="1" applyAlignment="1" applyProtection="1">
      <alignment horizontal="center" vertical="center" wrapText="1"/>
    </xf>
    <xf numFmtId="3" fontId="3" fillId="0" borderId="9" xfId="0" applyNumberFormat="1" applyFont="1" applyBorder="1" applyAlignment="1" applyProtection="1">
      <alignment horizontal="center" vertical="center" wrapText="1"/>
    </xf>
    <xf numFmtId="3" fontId="3" fillId="0" borderId="1" xfId="0" applyNumberFormat="1" applyFont="1" applyBorder="1" applyAlignment="1" applyProtection="1">
      <alignment horizontal="center" vertical="center" wrapText="1"/>
    </xf>
    <xf numFmtId="3" fontId="3" fillId="0" borderId="37" xfId="0" applyNumberFormat="1" applyFont="1" applyBorder="1" applyAlignment="1" applyProtection="1">
      <alignment horizontal="center" vertical="center" wrapText="1"/>
    </xf>
    <xf numFmtId="3" fontId="3" fillId="0" borderId="20" xfId="0" applyNumberFormat="1" applyFont="1" applyBorder="1" applyAlignment="1" applyProtection="1">
      <alignment horizontal="center" vertical="center" wrapText="1"/>
    </xf>
    <xf numFmtId="3" fontId="3" fillId="0" borderId="21" xfId="0" applyNumberFormat="1" applyFont="1" applyBorder="1" applyAlignment="1" applyProtection="1">
      <alignment horizontal="center" vertical="center" wrapText="1"/>
    </xf>
    <xf numFmtId="0" fontId="3" fillId="0" borderId="30" xfId="0" applyFont="1" applyFill="1" applyBorder="1" applyAlignment="1">
      <alignment horizontal="left" vertical="top" wrapText="1"/>
    </xf>
    <xf numFmtId="0" fontId="3" fillId="0" borderId="27" xfId="0" applyFont="1" applyBorder="1" applyAlignment="1">
      <alignment horizontal="left" vertical="top" wrapText="1"/>
    </xf>
    <xf numFmtId="0" fontId="3" fillId="0" borderId="30" xfId="0" applyNumberFormat="1" applyFont="1" applyBorder="1" applyAlignment="1">
      <alignment horizontal="left" vertical="top" wrapText="1"/>
    </xf>
    <xf numFmtId="0" fontId="3" fillId="0" borderId="29" xfId="0" applyNumberFormat="1" applyFont="1" applyBorder="1" applyAlignment="1">
      <alignment horizontal="left" vertical="top" wrapText="1"/>
    </xf>
    <xf numFmtId="3" fontId="3" fillId="0" borderId="32" xfId="0" applyNumberFormat="1" applyFont="1" applyBorder="1" applyAlignment="1" applyProtection="1">
      <alignment horizontal="center" vertical="center" wrapText="1"/>
    </xf>
    <xf numFmtId="3" fontId="3" fillId="0" borderId="39" xfId="0" applyNumberFormat="1" applyFont="1" applyBorder="1" applyAlignment="1" applyProtection="1">
      <alignment horizontal="center" vertical="center" wrapText="1"/>
    </xf>
    <xf numFmtId="0" fontId="3" fillId="0" borderId="24" xfId="0" applyNumberFormat="1" applyFont="1" applyBorder="1" applyAlignment="1">
      <alignment horizontal="left" vertical="top" wrapText="1"/>
    </xf>
    <xf numFmtId="3" fontId="3" fillId="0" borderId="31" xfId="0" applyNumberFormat="1" applyFont="1" applyBorder="1" applyAlignment="1" applyProtection="1">
      <alignment horizontal="center" vertical="center" wrapText="1"/>
    </xf>
    <xf numFmtId="3" fontId="3" fillId="0" borderId="22" xfId="0" applyNumberFormat="1" applyFont="1" applyBorder="1" applyAlignment="1" applyProtection="1">
      <alignment horizontal="center" vertical="center" wrapText="1"/>
    </xf>
    <xf numFmtId="3" fontId="3" fillId="0" borderId="24" xfId="0" applyNumberFormat="1" applyFont="1" applyBorder="1" applyAlignment="1" applyProtection="1">
      <alignment horizontal="center" vertical="center" wrapText="1"/>
    </xf>
    <xf numFmtId="0" fontId="3" fillId="0" borderId="26" xfId="0" applyFont="1" applyBorder="1" applyAlignment="1">
      <alignment horizontal="left" vertical="top" wrapText="1"/>
    </xf>
    <xf numFmtId="3" fontId="3" fillId="0" borderId="29" xfId="0" applyNumberFormat="1" applyFont="1" applyBorder="1" applyAlignment="1" applyProtection="1">
      <alignment horizontal="center" vertical="center" wrapText="1"/>
    </xf>
    <xf numFmtId="0" fontId="3" fillId="0" borderId="57" xfId="0" applyNumberFormat="1" applyFont="1" applyBorder="1" applyAlignment="1">
      <alignment horizontal="left" vertical="top" wrapText="1"/>
    </xf>
    <xf numFmtId="3" fontId="3" fillId="0" borderId="28" xfId="0" applyNumberFormat="1" applyFont="1" applyBorder="1" applyAlignment="1" applyProtection="1">
      <alignment horizontal="center" vertical="center" wrapText="1"/>
    </xf>
    <xf numFmtId="3" fontId="3" fillId="0" borderId="57" xfId="0" applyNumberFormat="1" applyFont="1" applyBorder="1" applyAlignment="1" applyProtection="1">
      <alignment horizontal="center" vertical="center" wrapText="1"/>
    </xf>
    <xf numFmtId="3" fontId="3" fillId="0" borderId="26" xfId="0" applyNumberFormat="1" applyFont="1" applyBorder="1" applyAlignment="1" applyProtection="1">
      <alignment horizontal="center" vertical="center" wrapText="1"/>
    </xf>
    <xf numFmtId="3" fontId="3" fillId="0" borderId="55" xfId="0" applyNumberFormat="1" applyFont="1" applyBorder="1" applyAlignment="1" applyProtection="1">
      <alignment horizontal="center" vertical="center" wrapText="1"/>
    </xf>
    <xf numFmtId="0" fontId="3" fillId="0" borderId="30" xfId="0" applyNumberFormat="1" applyFont="1" applyFill="1" applyBorder="1" applyAlignment="1">
      <alignment horizontal="left" vertical="top" wrapText="1"/>
    </xf>
    <xf numFmtId="0" fontId="3" fillId="0" borderId="29" xfId="0" applyNumberFormat="1" applyFont="1" applyFill="1" applyBorder="1" applyAlignment="1">
      <alignment horizontal="left" vertical="top" wrapText="1"/>
    </xf>
    <xf numFmtId="0" fontId="3" fillId="0" borderId="30" xfId="0" applyFont="1" applyBorder="1"/>
    <xf numFmtId="0" fontId="5" fillId="2" borderId="30" xfId="0" applyNumberFormat="1" applyFont="1" applyFill="1" applyBorder="1" applyAlignment="1">
      <alignment wrapText="1"/>
    </xf>
    <xf numFmtId="0" fontId="3" fillId="2" borderId="29" xfId="0" applyNumberFormat="1" applyFont="1" applyFill="1" applyBorder="1" applyAlignment="1">
      <alignment wrapText="1"/>
    </xf>
    <xf numFmtId="0" fontId="3" fillId="2" borderId="39" xfId="0" applyNumberFormat="1" applyFont="1" applyFill="1" applyBorder="1" applyAlignment="1">
      <alignment wrapText="1"/>
    </xf>
    <xf numFmtId="0" fontId="3" fillId="2" borderId="29" xfId="0" applyNumberFormat="1" applyFont="1" applyFill="1" applyBorder="1"/>
    <xf numFmtId="0" fontId="3" fillId="2" borderId="39" xfId="0" applyNumberFormat="1" applyFont="1" applyFill="1" applyBorder="1"/>
    <xf numFmtId="0" fontId="5" fillId="2" borderId="30" xfId="0" applyNumberFormat="1" applyFont="1" applyFill="1" applyBorder="1" applyAlignment="1">
      <alignment horizontal="left" vertical="top" wrapText="1"/>
    </xf>
    <xf numFmtId="0" fontId="3" fillId="2" borderId="29" xfId="0" applyNumberFormat="1" applyFont="1" applyFill="1" applyBorder="1" applyAlignment="1">
      <alignment horizontal="left" vertical="top"/>
    </xf>
    <xf numFmtId="0" fontId="3" fillId="2" borderId="39" xfId="0" applyNumberFormat="1" applyFont="1" applyFill="1" applyBorder="1" applyAlignment="1">
      <alignment horizontal="left" vertical="top"/>
    </xf>
    <xf numFmtId="0" fontId="3" fillId="2" borderId="32" xfId="0" applyNumberFormat="1" applyFont="1" applyFill="1" applyBorder="1"/>
    <xf numFmtId="0" fontId="3" fillId="2" borderId="19" xfId="0" applyNumberFormat="1" applyFont="1" applyFill="1" applyBorder="1" applyAlignment="1">
      <alignment wrapText="1"/>
    </xf>
    <xf numFmtId="3" fontId="3" fillId="0" borderId="19" xfId="0" applyNumberFormat="1" applyFont="1" applyBorder="1" applyAlignment="1" applyProtection="1">
      <alignment horizontal="center" vertical="center" wrapText="1"/>
    </xf>
    <xf numFmtId="0" fontId="3" fillId="2" borderId="19" xfId="0" applyNumberFormat="1" applyFont="1" applyFill="1" applyBorder="1" applyAlignment="1">
      <alignment horizontal="left" vertical="top"/>
    </xf>
    <xf numFmtId="3" fontId="3" fillId="0" borderId="60" xfId="0" applyNumberFormat="1" applyFont="1" applyBorder="1" applyAlignment="1" applyProtection="1">
      <alignment horizontal="center" vertical="center" wrapText="1"/>
    </xf>
    <xf numFmtId="3" fontId="3" fillId="0" borderId="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0" fontId="4" fillId="2" borderId="1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9" xfId="0" applyFont="1" applyFill="1" applyBorder="1" applyAlignment="1">
      <alignment horizontal="center" vertical="center" wrapText="1"/>
    </xf>
    <xf numFmtId="3" fontId="3" fillId="0" borderId="11" xfId="0" applyNumberFormat="1" applyFont="1" applyBorder="1" applyAlignment="1" applyProtection="1">
      <alignment horizontal="center" vertical="center" wrapText="1"/>
    </xf>
    <xf numFmtId="3" fontId="3" fillId="0" borderId="43" xfId="0" applyNumberFormat="1" applyFont="1" applyBorder="1" applyAlignment="1" applyProtection="1">
      <alignment horizontal="center" vertical="center" wrapText="1"/>
    </xf>
    <xf numFmtId="0" fontId="3" fillId="0" borderId="30" xfId="0" applyFont="1" applyFill="1" applyBorder="1" applyAlignment="1">
      <alignment vertical="top"/>
    </xf>
    <xf numFmtId="0" fontId="4" fillId="2" borderId="33" xfId="0" applyFont="1" applyFill="1" applyBorder="1" applyAlignment="1">
      <alignment horizontal="center" vertical="center" wrapText="1"/>
    </xf>
    <xf numFmtId="0" fontId="4" fillId="2" borderId="30" xfId="0" applyFont="1" applyFill="1" applyBorder="1" applyAlignment="1">
      <alignment horizontal="center" vertical="center" wrapText="1"/>
    </xf>
    <xf numFmtId="3" fontId="3" fillId="0" borderId="27" xfId="0" applyNumberFormat="1" applyFont="1" applyBorder="1" applyAlignment="1" applyProtection="1">
      <alignment horizontal="center" vertical="center" wrapText="1"/>
    </xf>
    <xf numFmtId="3" fontId="3" fillId="0" borderId="52" xfId="0" applyNumberFormat="1" applyFont="1" applyBorder="1" applyAlignment="1" applyProtection="1">
      <alignment horizontal="center" vertical="center" wrapText="1"/>
    </xf>
    <xf numFmtId="3" fontId="3" fillId="0" borderId="2" xfId="0" applyNumberFormat="1" applyFont="1" applyBorder="1" applyAlignment="1" applyProtection="1">
      <alignment horizontal="center" vertical="center" wrapText="1"/>
    </xf>
    <xf numFmtId="3" fontId="3" fillId="0" borderId="53" xfId="0" applyNumberFormat="1" applyFont="1" applyBorder="1" applyAlignment="1" applyProtection="1">
      <alignment horizontal="center" vertical="center" wrapText="1"/>
    </xf>
    <xf numFmtId="3" fontId="3" fillId="0" borderId="33" xfId="0" applyNumberFormat="1" applyFont="1" applyBorder="1" applyAlignment="1" applyProtection="1">
      <alignment horizontal="center" vertical="center" wrapText="1"/>
    </xf>
    <xf numFmtId="3" fontId="3" fillId="0" borderId="61" xfId="0" applyNumberFormat="1" applyFont="1" applyBorder="1" applyAlignment="1" applyProtection="1">
      <alignment horizontal="center" vertical="center" wrapText="1"/>
    </xf>
    <xf numFmtId="3" fontId="3" fillId="0" borderId="30" xfId="0" applyNumberFormat="1" applyFont="1" applyBorder="1" applyAlignment="1" applyProtection="1">
      <alignment horizontal="center" vertical="center" wrapText="1"/>
    </xf>
    <xf numFmtId="3" fontId="3" fillId="0" borderId="45" xfId="0" applyNumberFormat="1" applyFont="1" applyBorder="1" applyAlignment="1" applyProtection="1">
      <alignment horizontal="center" vertical="center" wrapText="1"/>
    </xf>
    <xf numFmtId="3" fontId="3" fillId="0" borderId="12" xfId="0" applyNumberFormat="1" applyFont="1" applyBorder="1" applyAlignment="1" applyProtection="1">
      <alignment horizontal="center" vertical="center" wrapText="1"/>
    </xf>
    <xf numFmtId="3" fontId="3" fillId="0" borderId="44" xfId="0" applyNumberFormat="1" applyFont="1" applyBorder="1" applyAlignment="1" applyProtection="1">
      <alignment horizontal="center" vertical="center" wrapText="1"/>
    </xf>
    <xf numFmtId="3" fontId="3" fillId="0" borderId="56" xfId="0" applyNumberFormat="1" applyFont="1" applyBorder="1" applyAlignment="1" applyProtection="1">
      <alignment horizontal="center" vertical="center" wrapText="1"/>
    </xf>
    <xf numFmtId="0" fontId="3" fillId="2" borderId="33" xfId="0" applyNumberFormat="1" applyFont="1" applyFill="1" applyBorder="1"/>
    <xf numFmtId="0" fontId="3" fillId="2" borderId="30" xfId="0" applyNumberFormat="1" applyFont="1" applyFill="1" applyBorder="1"/>
    <xf numFmtId="3" fontId="3" fillId="0" borderId="0" xfId="0" applyNumberFormat="1" applyFont="1" applyBorder="1" applyAlignment="1" applyProtection="1">
      <alignment horizontal="center" vertical="center" wrapText="1"/>
    </xf>
    <xf numFmtId="3" fontId="3" fillId="0" borderId="13" xfId="0" applyNumberFormat="1" applyFont="1" applyBorder="1" applyAlignment="1" applyProtection="1">
      <alignment horizontal="center" vertical="center" wrapText="1"/>
    </xf>
    <xf numFmtId="0" fontId="3" fillId="0" borderId="0" xfId="0" applyFont="1" applyFill="1"/>
    <xf numFmtId="3" fontId="3" fillId="0" borderId="9" xfId="0" applyNumberFormat="1" applyFont="1" applyBorder="1" applyAlignment="1" applyProtection="1">
      <alignment horizontal="left" vertical="top" wrapText="1"/>
      <protection locked="0"/>
    </xf>
    <xf numFmtId="0" fontId="7" fillId="0" borderId="0" xfId="0" applyFont="1" applyFill="1" applyAlignment="1">
      <alignment vertical="top"/>
    </xf>
    <xf numFmtId="0" fontId="4" fillId="0" borderId="0" xfId="0" applyFont="1"/>
    <xf numFmtId="49" fontId="17" fillId="0" borderId="1" xfId="0" applyNumberFormat="1" applyFont="1" applyBorder="1" applyProtection="1">
      <protection locked="0"/>
    </xf>
    <xf numFmtId="3" fontId="3" fillId="3" borderId="11" xfId="0" applyNumberFormat="1" applyFont="1" applyFill="1" applyBorder="1" applyAlignment="1">
      <alignment horizontal="center" vertical="center"/>
    </xf>
    <xf numFmtId="3" fontId="3" fillId="3" borderId="43" xfId="0" applyNumberFormat="1" applyFont="1" applyFill="1" applyBorder="1" applyAlignment="1" applyProtection="1">
      <alignment horizontal="center" vertical="center"/>
      <protection locked="0"/>
    </xf>
    <xf numFmtId="3" fontId="3" fillId="3" borderId="5" xfId="0" applyNumberFormat="1" applyFont="1" applyFill="1" applyBorder="1" applyAlignment="1" applyProtection="1">
      <alignment horizontal="center" vertical="center"/>
      <protection locked="0"/>
    </xf>
    <xf numFmtId="3" fontId="3" fillId="3" borderId="36" xfId="0" applyNumberFormat="1" applyFont="1" applyFill="1" applyBorder="1" applyAlignment="1" applyProtection="1">
      <alignment horizontal="center" vertical="center"/>
      <protection locked="0"/>
    </xf>
    <xf numFmtId="3" fontId="3" fillId="3" borderId="19" xfId="0" applyNumberFormat="1" applyFont="1" applyFill="1" applyBorder="1" applyAlignment="1">
      <alignment horizontal="center" vertical="center"/>
    </xf>
    <xf numFmtId="3" fontId="3" fillId="3" borderId="16" xfId="0" applyNumberFormat="1" applyFont="1" applyFill="1" applyBorder="1" applyAlignment="1">
      <alignment horizontal="center" vertical="center"/>
    </xf>
    <xf numFmtId="3" fontId="3" fillId="3" borderId="8" xfId="0" applyNumberFormat="1" applyFont="1" applyFill="1" applyBorder="1" applyAlignment="1">
      <alignment horizontal="center" vertical="center"/>
    </xf>
    <xf numFmtId="3" fontId="3" fillId="3" borderId="7" xfId="0" applyNumberFormat="1" applyFont="1" applyFill="1" applyBorder="1" applyAlignment="1" applyProtection="1">
      <alignment horizontal="center" vertical="center"/>
      <protection locked="0"/>
    </xf>
    <xf numFmtId="3" fontId="3" fillId="3" borderId="1" xfId="0" applyNumberFormat="1" applyFont="1" applyFill="1" applyBorder="1" applyAlignment="1" applyProtection="1">
      <alignment horizontal="center" vertical="center"/>
      <protection locked="0"/>
    </xf>
    <xf numFmtId="3" fontId="3" fillId="3" borderId="9" xfId="0" applyNumberFormat="1" applyFont="1" applyFill="1" applyBorder="1" applyAlignment="1" applyProtection="1">
      <alignment horizontal="center" vertical="center"/>
      <protection locked="0"/>
    </xf>
    <xf numFmtId="3" fontId="3" fillId="3" borderId="38" xfId="0" applyNumberFormat="1" applyFont="1" applyFill="1" applyBorder="1" applyAlignment="1">
      <alignment horizontal="center" vertical="center"/>
    </xf>
    <xf numFmtId="3" fontId="3" fillId="3" borderId="35" xfId="0" applyNumberFormat="1" applyFont="1" applyFill="1" applyBorder="1" applyAlignment="1" applyProtection="1">
      <alignment horizontal="center" vertical="center"/>
      <protection locked="0"/>
    </xf>
    <xf numFmtId="3" fontId="3" fillId="3" borderId="4" xfId="0" applyNumberFormat="1" applyFont="1" applyFill="1" applyBorder="1" applyAlignment="1" applyProtection="1">
      <alignment horizontal="center" vertical="center"/>
      <protection locked="0"/>
    </xf>
    <xf numFmtId="3" fontId="3" fillId="3" borderId="10" xfId="0" applyNumberFormat="1" applyFont="1" applyFill="1" applyBorder="1" applyAlignment="1" applyProtection="1">
      <alignment horizontal="center" vertical="center"/>
      <protection locked="0"/>
    </xf>
    <xf numFmtId="3" fontId="3" fillId="3" borderId="34" xfId="0" applyNumberFormat="1" applyFont="1" applyFill="1" applyBorder="1" applyAlignment="1">
      <alignment horizontal="center" vertical="center"/>
    </xf>
    <xf numFmtId="3" fontId="3" fillId="3" borderId="29" xfId="0" applyNumberFormat="1" applyFont="1" applyFill="1" applyBorder="1" applyAlignment="1" applyProtection="1">
      <alignment horizontal="center" vertical="center"/>
    </xf>
    <xf numFmtId="3" fontId="3" fillId="3" borderId="39" xfId="0" applyNumberFormat="1" applyFont="1" applyFill="1" applyBorder="1" applyAlignment="1" applyProtection="1">
      <alignment horizontal="center" vertical="center"/>
    </xf>
    <xf numFmtId="3" fontId="3" fillId="3" borderId="56" xfId="0" applyNumberFormat="1" applyFont="1" applyFill="1" applyBorder="1" applyAlignment="1" applyProtection="1">
      <alignment horizontal="center" vertical="center"/>
    </xf>
    <xf numFmtId="3" fontId="3" fillId="3" borderId="28" xfId="0" applyNumberFormat="1" applyFont="1" applyFill="1" applyBorder="1" applyAlignment="1" applyProtection="1">
      <alignment horizontal="center" vertical="center"/>
    </xf>
    <xf numFmtId="3" fontId="3" fillId="3" borderId="57" xfId="0" applyNumberFormat="1" applyFont="1" applyFill="1" applyBorder="1" applyAlignment="1" applyProtection="1">
      <alignment horizontal="center" vertical="center"/>
    </xf>
    <xf numFmtId="49" fontId="17" fillId="0" borderId="1" xfId="0" applyNumberFormat="1" applyFont="1" applyBorder="1" applyAlignment="1">
      <alignment vertical="top"/>
    </xf>
    <xf numFmtId="14" fontId="10" fillId="0" borderId="1" xfId="0" applyNumberFormat="1" applyFont="1" applyBorder="1" applyAlignment="1" applyProtection="1">
      <alignment vertical="center"/>
      <protection locked="0"/>
    </xf>
    <xf numFmtId="3" fontId="3" fillId="3" borderId="34" xfId="0" applyNumberFormat="1" applyFont="1" applyFill="1" applyBorder="1" applyAlignment="1">
      <alignment horizontal="center" vertical="center"/>
    </xf>
    <xf numFmtId="3" fontId="3" fillId="3" borderId="28" xfId="0" applyNumberFormat="1" applyFont="1" applyFill="1" applyBorder="1" applyAlignment="1" applyProtection="1">
      <alignment horizontal="center" vertical="center"/>
      <protection locked="0"/>
    </xf>
    <xf numFmtId="3" fontId="3" fillId="3" borderId="57" xfId="0" applyNumberFormat="1" applyFont="1" applyFill="1" applyBorder="1" applyAlignment="1" applyProtection="1">
      <alignment horizontal="center" vertical="center"/>
      <protection locked="0"/>
    </xf>
    <xf numFmtId="0" fontId="3" fillId="3" borderId="0" xfId="0" applyFont="1" applyFill="1" applyAlignment="1">
      <alignment horizontal="center" vertical="center"/>
    </xf>
    <xf numFmtId="0" fontId="1" fillId="0" borderId="0" xfId="0" applyFont="1"/>
    <xf numFmtId="0" fontId="0" fillId="11" borderId="1" xfId="0" applyFill="1" applyBorder="1"/>
    <xf numFmtId="0" fontId="1" fillId="11" borderId="1" xfId="0" applyFont="1" applyFill="1" applyBorder="1"/>
    <xf numFmtId="0" fontId="1" fillId="12" borderId="1" xfId="0" applyFont="1" applyFill="1" applyBorder="1"/>
    <xf numFmtId="0" fontId="0" fillId="12" borderId="1" xfId="0" applyFill="1" applyBorder="1"/>
    <xf numFmtId="3" fontId="3" fillId="3" borderId="56" xfId="0" applyNumberFormat="1" applyFont="1" applyFill="1" applyBorder="1" applyAlignment="1" applyProtection="1">
      <alignment horizontal="center" vertical="center"/>
      <protection locked="0"/>
    </xf>
    <xf numFmtId="3" fontId="3" fillId="3" borderId="61" xfId="0" applyNumberFormat="1" applyFont="1" applyFill="1" applyBorder="1" applyAlignment="1" applyProtection="1">
      <alignment horizontal="center" vertical="center"/>
      <protection locked="0"/>
    </xf>
    <xf numFmtId="49" fontId="19" fillId="11" borderId="30" xfId="0" applyNumberFormat="1" applyFont="1" applyFill="1" applyBorder="1" applyAlignment="1" applyProtection="1">
      <alignment horizontal="center" vertical="center"/>
      <protection locked="0"/>
    </xf>
    <xf numFmtId="49" fontId="19" fillId="11" borderId="19" xfId="0" applyNumberFormat="1" applyFont="1" applyFill="1" applyBorder="1" applyAlignment="1" applyProtection="1">
      <alignment horizontal="center" vertical="center"/>
      <protection locked="0"/>
    </xf>
    <xf numFmtId="49" fontId="19" fillId="11" borderId="39" xfId="0" applyNumberFormat="1" applyFont="1" applyFill="1" applyBorder="1" applyAlignment="1" applyProtection="1">
      <alignment horizontal="center" vertical="center" wrapText="1"/>
      <protection locked="0"/>
    </xf>
    <xf numFmtId="49" fontId="19" fillId="11" borderId="26" xfId="0" applyNumberFormat="1" applyFont="1" applyFill="1" applyBorder="1" applyAlignment="1" applyProtection="1">
      <alignment horizontal="center" vertical="center"/>
      <protection locked="0"/>
    </xf>
    <xf numFmtId="3" fontId="19" fillId="11" borderId="40" xfId="0" applyNumberFormat="1" applyFont="1" applyFill="1" applyBorder="1" applyAlignment="1" applyProtection="1">
      <alignment horizontal="center" vertical="center"/>
      <protection locked="0"/>
    </xf>
    <xf numFmtId="3" fontId="19" fillId="11" borderId="19" xfId="0" applyNumberFormat="1" applyFont="1" applyFill="1" applyBorder="1" applyAlignment="1" applyProtection="1">
      <alignment horizontal="center" vertical="center"/>
      <protection locked="0"/>
    </xf>
    <xf numFmtId="3" fontId="0" fillId="5" borderId="14" xfId="0" applyNumberFormat="1" applyFill="1" applyBorder="1"/>
    <xf numFmtId="3" fontId="0" fillId="5" borderId="6" xfId="0" applyNumberFormat="1" applyFill="1" applyBorder="1"/>
    <xf numFmtId="3" fontId="0" fillId="5" borderId="58" xfId="0" applyNumberFormat="1" applyFill="1" applyBorder="1"/>
    <xf numFmtId="3" fontId="0" fillId="5" borderId="12" xfId="0" applyNumberFormat="1" applyFill="1" applyBorder="1"/>
    <xf numFmtId="3" fontId="0" fillId="5" borderId="1" xfId="0" applyNumberFormat="1" applyFill="1" applyBorder="1"/>
    <xf numFmtId="14" fontId="0" fillId="0" borderId="15" xfId="0" applyNumberFormat="1" applyBorder="1"/>
    <xf numFmtId="0" fontId="0" fillId="0" borderId="8" xfId="0" applyBorder="1"/>
    <xf numFmtId="0" fontId="0" fillId="0" borderId="0" xfId="0" applyAlignment="1">
      <alignment horizontal="left" vertical="center"/>
    </xf>
    <xf numFmtId="3" fontId="3" fillId="3" borderId="56" xfId="0" applyNumberFormat="1" applyFont="1" applyFill="1" applyBorder="1" applyAlignment="1" applyProtection="1">
      <alignment vertical="center"/>
      <protection locked="0"/>
    </xf>
    <xf numFmtId="3" fontId="3" fillId="3" borderId="28" xfId="0" applyNumberFormat="1" applyFont="1" applyFill="1" applyBorder="1" applyAlignment="1" applyProtection="1">
      <alignment vertical="center"/>
      <protection locked="0"/>
    </xf>
    <xf numFmtId="3" fontId="3" fillId="3" borderId="57" xfId="0" applyNumberFormat="1" applyFont="1" applyFill="1" applyBorder="1" applyAlignment="1" applyProtection="1">
      <alignment vertical="center"/>
      <protection locked="0"/>
    </xf>
    <xf numFmtId="0" fontId="3" fillId="3" borderId="19" xfId="0" applyFont="1" applyFill="1" applyBorder="1" applyAlignment="1">
      <alignment vertical="top" wrapText="1"/>
    </xf>
    <xf numFmtId="3" fontId="3" fillId="3" borderId="30" xfId="0" applyNumberFormat="1" applyFont="1" applyFill="1" applyBorder="1" applyAlignment="1" applyProtection="1">
      <alignment vertical="center"/>
      <protection locked="0"/>
    </xf>
    <xf numFmtId="3" fontId="3" fillId="3" borderId="29" xfId="0" applyNumberFormat="1" applyFont="1" applyFill="1" applyBorder="1" applyAlignment="1" applyProtection="1">
      <alignment vertical="center"/>
      <protection locked="0"/>
    </xf>
    <xf numFmtId="3" fontId="3" fillId="3" borderId="39" xfId="0" applyNumberFormat="1" applyFont="1" applyFill="1" applyBorder="1" applyAlignment="1" applyProtection="1">
      <alignment vertical="center"/>
      <protection locked="0"/>
    </xf>
    <xf numFmtId="3" fontId="3" fillId="3" borderId="36" xfId="0" applyNumberFormat="1" applyFont="1" applyFill="1" applyBorder="1" applyAlignment="1" applyProtection="1">
      <alignment vertical="center"/>
      <protection locked="0"/>
    </xf>
    <xf numFmtId="0" fontId="3" fillId="2" borderId="39" xfId="0" applyNumberFormat="1" applyFont="1" applyFill="1" applyBorder="1" applyAlignment="1">
      <alignment horizontal="left" vertical="top" wrapText="1"/>
    </xf>
    <xf numFmtId="0" fontId="3" fillId="2" borderId="59" xfId="0" applyNumberFormat="1" applyFont="1" applyFill="1" applyBorder="1" applyAlignment="1">
      <alignment horizontal="left" vertical="top" wrapText="1"/>
    </xf>
    <xf numFmtId="49" fontId="19" fillId="11" borderId="30" xfId="0" applyNumberFormat="1" applyFont="1" applyFill="1" applyBorder="1" applyAlignment="1" applyProtection="1">
      <alignment horizontal="center" vertical="center" wrapText="1"/>
      <protection locked="0"/>
    </xf>
    <xf numFmtId="49" fontId="19" fillId="11" borderId="29" xfId="0" applyNumberFormat="1" applyFont="1" applyFill="1" applyBorder="1" applyAlignment="1" applyProtection="1">
      <alignment horizontal="center" vertical="center" wrapText="1"/>
      <protection locked="0"/>
    </xf>
    <xf numFmtId="49" fontId="19" fillId="11" borderId="26" xfId="0" applyNumberFormat="1" applyFont="1" applyFill="1" applyBorder="1" applyAlignment="1" applyProtection="1">
      <alignment horizontal="center" vertical="center" wrapText="1"/>
      <protection locked="0"/>
    </xf>
    <xf numFmtId="0" fontId="4" fillId="4" borderId="19"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3" xfId="0" applyNumberFormat="1"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23" xfId="0" applyNumberFormat="1" applyFont="1" applyFill="1" applyBorder="1" applyAlignment="1">
      <alignment horizontal="left" vertical="center" wrapText="1"/>
    </xf>
    <xf numFmtId="0" fontId="4" fillId="4" borderId="39" xfId="0" applyFont="1" applyFill="1" applyBorder="1" applyAlignment="1">
      <alignment horizontal="center" vertical="center" wrapText="1"/>
    </xf>
    <xf numFmtId="0" fontId="3" fillId="3" borderId="0" xfId="0" applyFont="1" applyFill="1" applyProtection="1"/>
    <xf numFmtId="1" fontId="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left" vertical="top" wrapText="1"/>
    </xf>
    <xf numFmtId="0" fontId="4" fillId="4" borderId="63" xfId="0" applyFont="1" applyFill="1" applyBorder="1" applyAlignment="1">
      <alignment horizontal="left" vertical="top"/>
    </xf>
    <xf numFmtId="0" fontId="4" fillId="4" borderId="65" xfId="0" applyFont="1" applyFill="1" applyBorder="1" applyAlignment="1">
      <alignment horizontal="left" vertical="top"/>
    </xf>
    <xf numFmtId="0" fontId="4" fillId="4" borderId="62" xfId="0" applyFont="1" applyFill="1" applyBorder="1" applyAlignment="1">
      <alignment horizontal="left" vertical="top"/>
    </xf>
    <xf numFmtId="0" fontId="4" fillId="4" borderId="69" xfId="0" applyFont="1" applyFill="1" applyBorder="1" applyAlignment="1">
      <alignment horizontal="left" vertical="top"/>
    </xf>
    <xf numFmtId="0" fontId="4" fillId="4" borderId="18" xfId="0" applyFont="1" applyFill="1" applyBorder="1" applyAlignment="1">
      <alignment horizontal="center" vertical="center" wrapText="1"/>
    </xf>
    <xf numFmtId="0" fontId="4" fillId="4" borderId="19" xfId="0" applyNumberFormat="1" applyFont="1" applyFill="1" applyBorder="1" applyAlignment="1">
      <alignment horizontal="left" vertical="center" wrapText="1"/>
    </xf>
    <xf numFmtId="3" fontId="3" fillId="3" borderId="70" xfId="0" applyNumberFormat="1" applyFont="1" applyFill="1" applyBorder="1" applyAlignment="1">
      <alignment horizontal="center" vertical="center"/>
    </xf>
    <xf numFmtId="3" fontId="3" fillId="3" borderId="32" xfId="0" applyNumberFormat="1" applyFont="1" applyFill="1" applyBorder="1" applyAlignment="1" applyProtection="1">
      <alignment horizontal="center" vertical="center"/>
    </xf>
    <xf numFmtId="0" fontId="0" fillId="11" borderId="1" xfId="0" quotePrefix="1" applyFill="1" applyBorder="1"/>
    <xf numFmtId="49" fontId="0" fillId="12" borderId="1" xfId="0" applyNumberFormat="1" applyFill="1" applyBorder="1"/>
    <xf numFmtId="0" fontId="22" fillId="0" borderId="0" xfId="0" applyFont="1"/>
    <xf numFmtId="3" fontId="0" fillId="0" borderId="0" xfId="0" applyNumberFormat="1"/>
    <xf numFmtId="3" fontId="3" fillId="3" borderId="0" xfId="0" applyNumberFormat="1" applyFont="1" applyFill="1"/>
    <xf numFmtId="3" fontId="0" fillId="5" borderId="67" xfId="0" applyNumberFormat="1" applyFill="1" applyBorder="1"/>
    <xf numFmtId="0" fontId="1" fillId="13" borderId="20" xfId="0" applyFont="1" applyFill="1" applyBorder="1"/>
    <xf numFmtId="0" fontId="1" fillId="13" borderId="44" xfId="0" applyFont="1" applyFill="1" applyBorder="1"/>
    <xf numFmtId="0" fontId="1" fillId="13" borderId="21" xfId="0" applyFont="1" applyFill="1" applyBorder="1"/>
    <xf numFmtId="0" fontId="0" fillId="0" borderId="68" xfId="0" applyBorder="1"/>
    <xf numFmtId="0" fontId="1" fillId="0" borderId="8" xfId="0" applyFont="1" applyBorder="1"/>
    <xf numFmtId="14" fontId="1" fillId="0" borderId="15" xfId="0" applyNumberFormat="1" applyFont="1" applyBorder="1"/>
    <xf numFmtId="3" fontId="1" fillId="5" borderId="14" xfId="0" applyNumberFormat="1" applyFont="1" applyFill="1" applyBorder="1"/>
    <xf numFmtId="3" fontId="1" fillId="5" borderId="6" xfId="0" applyNumberFormat="1" applyFont="1" applyFill="1" applyBorder="1"/>
    <xf numFmtId="0" fontId="1" fillId="0" borderId="68" xfId="0" applyFont="1" applyBorder="1"/>
    <xf numFmtId="0" fontId="3" fillId="0" borderId="0" xfId="0" applyFont="1" applyProtection="1"/>
    <xf numFmtId="0" fontId="4" fillId="0" borderId="0" xfId="0" applyFont="1" applyProtection="1"/>
    <xf numFmtId="0" fontId="8" fillId="0" borderId="0" xfId="0" applyFont="1" applyFill="1" applyAlignment="1" applyProtection="1">
      <alignment horizontal="left" vertical="top"/>
    </xf>
    <xf numFmtId="0" fontId="6" fillId="0" borderId="0" xfId="0" applyFont="1" applyFill="1" applyAlignment="1" applyProtection="1">
      <alignment horizontal="left" vertical="top"/>
    </xf>
    <xf numFmtId="0" fontId="4" fillId="2" borderId="29" xfId="0" applyFont="1" applyFill="1" applyBorder="1" applyAlignment="1" applyProtection="1">
      <alignment horizontal="left" vertical="top" wrapText="1"/>
    </xf>
    <xf numFmtId="0" fontId="3" fillId="0" borderId="0" xfId="0" applyFont="1" applyFill="1" applyBorder="1" applyProtection="1"/>
    <xf numFmtId="0" fontId="3" fillId="0" borderId="30" xfId="0" applyFont="1" applyBorder="1" applyProtection="1">
      <protection locked="0"/>
    </xf>
    <xf numFmtId="0" fontId="3" fillId="0" borderId="27" xfId="0" applyFont="1" applyBorder="1" applyProtection="1">
      <protection locked="0"/>
    </xf>
    <xf numFmtId="0" fontId="5" fillId="2" borderId="30" xfId="0" applyFont="1" applyFill="1" applyBorder="1" applyAlignment="1" applyProtection="1">
      <alignment horizontal="left" vertical="top" wrapText="1"/>
      <protection locked="0"/>
    </xf>
    <xf numFmtId="0" fontId="3" fillId="2" borderId="29" xfId="0" applyFont="1" applyFill="1" applyBorder="1" applyAlignment="1" applyProtection="1">
      <alignment vertical="top"/>
      <protection locked="0"/>
    </xf>
    <xf numFmtId="0" fontId="3" fillId="2" borderId="39" xfId="0" applyFont="1" applyFill="1" applyBorder="1" applyAlignment="1" applyProtection="1">
      <alignment vertical="top"/>
      <protection locked="0"/>
    </xf>
    <xf numFmtId="0" fontId="3" fillId="2" borderId="29" xfId="0" applyFont="1" applyFill="1" applyBorder="1" applyProtection="1">
      <protection locked="0"/>
    </xf>
    <xf numFmtId="0" fontId="3" fillId="2" borderId="33" xfId="0" applyFont="1" applyFill="1" applyBorder="1" applyProtection="1">
      <protection locked="0"/>
    </xf>
    <xf numFmtId="0" fontId="3" fillId="2" borderId="30" xfId="0" applyFont="1" applyFill="1" applyBorder="1" applyProtection="1">
      <protection locked="0"/>
    </xf>
    <xf numFmtId="0" fontId="3" fillId="2" borderId="39" xfId="0" applyFont="1" applyFill="1" applyBorder="1" applyProtection="1">
      <protection locked="0"/>
    </xf>
    <xf numFmtId="0" fontId="3" fillId="0" borderId="0" xfId="0" applyFont="1" applyProtection="1">
      <protection locked="0"/>
    </xf>
    <xf numFmtId="0" fontId="23" fillId="2" borderId="30" xfId="0" applyFont="1" applyFill="1" applyBorder="1" applyAlignment="1" applyProtection="1">
      <alignment horizontal="center" vertical="center" wrapText="1"/>
      <protection locked="0"/>
    </xf>
    <xf numFmtId="0" fontId="23" fillId="2" borderId="39" xfId="0" applyFont="1" applyFill="1" applyBorder="1" applyAlignment="1" applyProtection="1">
      <alignment horizontal="center" vertical="center" wrapText="1"/>
      <protection locked="0"/>
    </xf>
    <xf numFmtId="0" fontId="3" fillId="0" borderId="24" xfId="0" applyNumberFormat="1" applyFont="1" applyFill="1" applyBorder="1" applyAlignment="1">
      <alignment horizontal="left" vertical="top" wrapText="1"/>
    </xf>
    <xf numFmtId="0" fontId="3" fillId="0" borderId="9" xfId="0" applyNumberFormat="1" applyFont="1" applyFill="1" applyBorder="1" applyAlignment="1">
      <alignment horizontal="left" vertical="top" wrapText="1"/>
    </xf>
    <xf numFmtId="0" fontId="3" fillId="0" borderId="21" xfId="0" applyNumberFormat="1" applyFont="1" applyFill="1" applyBorder="1" applyAlignment="1">
      <alignment horizontal="left" vertical="top" wrapText="1"/>
    </xf>
    <xf numFmtId="0" fontId="0" fillId="0" borderId="0" xfId="0" applyProtection="1"/>
    <xf numFmtId="0" fontId="12" fillId="2" borderId="42" xfId="0" applyFont="1" applyFill="1" applyBorder="1" applyProtection="1"/>
    <xf numFmtId="0" fontId="12" fillId="0" borderId="0" xfId="0" applyFont="1" applyAlignment="1" applyProtection="1"/>
    <xf numFmtId="14" fontId="0" fillId="0" borderId="0" xfId="0" applyNumberFormat="1" applyProtection="1"/>
    <xf numFmtId="49" fontId="13" fillId="0" borderId="38" xfId="0" applyNumberFormat="1" applyFont="1" applyBorder="1" applyAlignment="1" applyProtection="1">
      <alignment vertical="top" wrapText="1"/>
    </xf>
    <xf numFmtId="49" fontId="13" fillId="0" borderId="19" xfId="0" applyNumberFormat="1" applyFont="1" applyBorder="1" applyAlignment="1" applyProtection="1">
      <alignment vertical="top" wrapText="1"/>
    </xf>
    <xf numFmtId="0" fontId="14" fillId="7" borderId="19" xfId="0" applyFont="1" applyFill="1" applyBorder="1" applyAlignment="1" applyProtection="1"/>
    <xf numFmtId="1" fontId="9" fillId="10" borderId="8" xfId="0" applyNumberFormat="1" applyFont="1" applyFill="1" applyBorder="1" applyAlignment="1" applyProtection="1">
      <alignment horizontal="center" vertical="center"/>
    </xf>
    <xf numFmtId="1" fontId="9" fillId="9" borderId="8" xfId="0" applyNumberFormat="1" applyFont="1" applyFill="1" applyBorder="1" applyAlignment="1" applyProtection="1">
      <alignment horizontal="center" vertical="center"/>
    </xf>
    <xf numFmtId="0" fontId="3" fillId="0" borderId="27" xfId="0" applyFont="1" applyFill="1" applyBorder="1" applyAlignment="1">
      <alignment wrapText="1"/>
    </xf>
    <xf numFmtId="0" fontId="3" fillId="0" borderId="0" xfId="0" applyFont="1" applyBorder="1"/>
    <xf numFmtId="0" fontId="0" fillId="0" borderId="0" xfId="0" applyFill="1"/>
    <xf numFmtId="0" fontId="1" fillId="15" borderId="0" xfId="0" applyFont="1" applyFill="1"/>
    <xf numFmtId="3" fontId="1" fillId="15" borderId="0" xfId="0" applyNumberFormat="1" applyFont="1" applyFill="1"/>
    <xf numFmtId="0" fontId="1" fillId="0" borderId="0" xfId="0" applyFont="1" applyFill="1"/>
    <xf numFmtId="0" fontId="3" fillId="0" borderId="0" xfId="0" applyFont="1" applyFill="1" applyProtection="1"/>
    <xf numFmtId="0" fontId="25" fillId="16" borderId="38" xfId="0" applyFont="1" applyFill="1" applyBorder="1" applyAlignment="1">
      <alignment horizontal="left" vertical="top" wrapText="1"/>
    </xf>
    <xf numFmtId="3" fontId="25" fillId="16" borderId="38" xfId="0" applyNumberFormat="1" applyFont="1" applyFill="1" applyBorder="1" applyAlignment="1">
      <alignment horizontal="center" vertical="center"/>
    </xf>
    <xf numFmtId="0" fontId="25" fillId="16" borderId="62" xfId="0" applyFont="1" applyFill="1" applyBorder="1" applyAlignment="1">
      <alignment horizontal="left" vertical="top" wrapText="1"/>
    </xf>
    <xf numFmtId="3" fontId="25" fillId="16" borderId="23" xfId="0" applyNumberFormat="1" applyFont="1" applyFill="1" applyBorder="1" applyAlignment="1">
      <alignment horizontal="center" vertical="center"/>
    </xf>
    <xf numFmtId="0" fontId="25" fillId="16" borderId="64" xfId="0" applyFont="1" applyFill="1" applyBorder="1" applyAlignment="1">
      <alignment horizontal="left" vertical="top" wrapText="1"/>
    </xf>
    <xf numFmtId="0" fontId="25" fillId="16" borderId="73" xfId="0" applyFont="1" applyFill="1" applyBorder="1" applyAlignment="1">
      <alignment horizontal="left" vertical="top" wrapText="1"/>
    </xf>
    <xf numFmtId="0" fontId="25" fillId="14" borderId="60" xfId="0" applyFont="1" applyFill="1" applyBorder="1" applyAlignment="1">
      <alignment horizontal="left" vertical="top" wrapText="1"/>
    </xf>
    <xf numFmtId="3" fontId="25" fillId="14" borderId="60" xfId="0" applyNumberFormat="1" applyFont="1" applyFill="1" applyBorder="1" applyAlignment="1">
      <alignment horizontal="center" vertical="center"/>
    </xf>
    <xf numFmtId="0" fontId="25" fillId="14" borderId="74" xfId="0" applyFont="1" applyFill="1" applyBorder="1" applyAlignment="1">
      <alignment horizontal="left" vertical="top" wrapText="1"/>
    </xf>
    <xf numFmtId="3" fontId="25" fillId="14" borderId="70" xfId="0" applyNumberFormat="1" applyFont="1" applyFill="1" applyBorder="1" applyAlignment="1">
      <alignment horizontal="center" vertical="center"/>
    </xf>
    <xf numFmtId="0" fontId="25" fillId="14" borderId="63" xfId="0" applyFont="1" applyFill="1" applyBorder="1" applyAlignment="1">
      <alignment horizontal="left" vertical="top" wrapText="1"/>
    </xf>
    <xf numFmtId="0" fontId="25" fillId="14" borderId="19" xfId="0" applyFont="1" applyFill="1" applyBorder="1" applyAlignment="1">
      <alignment horizontal="left" vertical="top" wrapText="1"/>
    </xf>
    <xf numFmtId="3" fontId="25" fillId="14" borderId="19" xfId="0" applyNumberFormat="1" applyFont="1" applyFill="1" applyBorder="1" applyAlignment="1">
      <alignment horizontal="center" vertical="center"/>
    </xf>
    <xf numFmtId="3" fontId="25" fillId="14" borderId="32" xfId="0" applyNumberFormat="1" applyFont="1" applyFill="1" applyBorder="1" applyAlignment="1">
      <alignment horizontal="center" vertical="center"/>
    </xf>
    <xf numFmtId="3" fontId="25" fillId="14" borderId="39" xfId="0" applyNumberFormat="1" applyFont="1" applyFill="1" applyBorder="1" applyAlignment="1">
      <alignment horizontal="center" vertical="center"/>
    </xf>
    <xf numFmtId="3" fontId="25" fillId="14" borderId="30" xfId="0" applyNumberFormat="1" applyFont="1" applyFill="1" applyBorder="1" applyAlignment="1" applyProtection="1">
      <alignment horizontal="center" vertical="center"/>
    </xf>
    <xf numFmtId="3" fontId="25" fillId="14" borderId="29" xfId="0" applyNumberFormat="1" applyFont="1" applyFill="1" applyBorder="1" applyAlignment="1" applyProtection="1">
      <alignment horizontal="center" vertical="center"/>
    </xf>
    <xf numFmtId="3" fontId="25" fillId="14" borderId="39" xfId="0" applyNumberFormat="1" applyFont="1" applyFill="1" applyBorder="1" applyAlignment="1" applyProtection="1">
      <alignment horizontal="center" vertical="center"/>
    </xf>
    <xf numFmtId="0" fontId="25" fillId="14" borderId="25" xfId="0" applyFont="1" applyFill="1" applyBorder="1" applyAlignment="1">
      <alignment vertical="top" wrapText="1"/>
    </xf>
    <xf numFmtId="3" fontId="25" fillId="14" borderId="32" xfId="0" applyNumberFormat="1" applyFont="1" applyFill="1" applyBorder="1" applyAlignment="1" applyProtection="1">
      <alignment horizontal="center" vertical="center"/>
    </xf>
    <xf numFmtId="0" fontId="25" fillId="14" borderId="19" xfId="0" applyFont="1" applyFill="1" applyBorder="1" applyAlignment="1" applyProtection="1">
      <alignment horizontal="left" vertical="top" wrapText="1"/>
    </xf>
    <xf numFmtId="3" fontId="25" fillId="14" borderId="19" xfId="0" applyNumberFormat="1" applyFont="1" applyFill="1" applyBorder="1" applyAlignment="1" applyProtection="1">
      <alignment horizontal="center" vertical="center"/>
    </xf>
    <xf numFmtId="3" fontId="25" fillId="14" borderId="26" xfId="0" applyNumberFormat="1" applyFont="1" applyFill="1" applyBorder="1" applyAlignment="1">
      <alignment horizontal="center" vertical="center"/>
    </xf>
    <xf numFmtId="0" fontId="25" fillId="14" borderId="25" xfId="0" applyFont="1" applyFill="1" applyBorder="1" applyAlignment="1">
      <alignment horizontal="left" vertical="top" wrapText="1"/>
    </xf>
    <xf numFmtId="49" fontId="17" fillId="0" borderId="9" xfId="0" applyNumberFormat="1" applyFont="1" applyFill="1" applyBorder="1" applyProtection="1"/>
    <xf numFmtId="14" fontId="10" fillId="0" borderId="21" xfId="0" applyNumberFormat="1" applyFont="1" applyFill="1" applyBorder="1" applyAlignment="1" applyProtection="1">
      <alignment horizontal="left" vertical="center"/>
      <protection locked="0"/>
    </xf>
    <xf numFmtId="0" fontId="4" fillId="0" borderId="19" xfId="0" applyFont="1" applyBorder="1" applyAlignment="1" applyProtection="1">
      <alignment horizontal="left" vertical="top"/>
    </xf>
    <xf numFmtId="0" fontId="3" fillId="0" borderId="60" xfId="0" applyFont="1" applyBorder="1" applyAlignment="1" applyProtection="1">
      <alignment horizontal="left" vertical="top"/>
    </xf>
    <xf numFmtId="0" fontId="3" fillId="0" borderId="8" xfId="0" applyFont="1" applyBorder="1" applyAlignment="1" applyProtection="1">
      <alignment horizontal="left" vertical="top"/>
    </xf>
    <xf numFmtId="0" fontId="3" fillId="0" borderId="38" xfId="0" applyFont="1" applyBorder="1" applyAlignment="1" applyProtection="1">
      <alignment horizontal="left" vertical="top"/>
    </xf>
    <xf numFmtId="3" fontId="3" fillId="0" borderId="21" xfId="0" applyNumberFormat="1" applyFont="1" applyBorder="1" applyAlignment="1" applyProtection="1">
      <alignment horizontal="left" vertical="top" wrapText="1"/>
      <protection locked="0"/>
    </xf>
    <xf numFmtId="0" fontId="16" fillId="10" borderId="0" xfId="0" applyFont="1" applyFill="1" applyAlignment="1">
      <alignment horizontal="left"/>
    </xf>
    <xf numFmtId="49" fontId="3" fillId="0" borderId="34" xfId="0" applyNumberFormat="1" applyFont="1" applyFill="1" applyBorder="1" applyAlignment="1" applyProtection="1">
      <alignment horizontal="left" vertical="top" wrapText="1"/>
      <protection locked="0"/>
    </xf>
    <xf numFmtId="49" fontId="3" fillId="0" borderId="11" xfId="0" applyNumberFormat="1" applyFont="1" applyFill="1" applyBorder="1" applyAlignment="1" applyProtection="1">
      <alignment horizontal="left" vertical="top" wrapText="1"/>
      <protection locked="0"/>
    </xf>
    <xf numFmtId="0" fontId="3" fillId="2" borderId="66" xfId="0" applyFont="1" applyFill="1" applyBorder="1" applyAlignment="1">
      <alignment vertical="top" wrapText="1"/>
    </xf>
    <xf numFmtId="0" fontId="3" fillId="2" borderId="62" xfId="0" applyFont="1" applyFill="1" applyBorder="1" applyAlignment="1">
      <alignment vertical="top" wrapText="1"/>
    </xf>
    <xf numFmtId="49" fontId="19" fillId="11" borderId="36" xfId="0" applyNumberFormat="1" applyFont="1" applyFill="1" applyBorder="1" applyAlignment="1" applyProtection="1">
      <alignment horizontal="center" vertical="center" wrapText="1"/>
      <protection locked="0"/>
    </xf>
    <xf numFmtId="0" fontId="0" fillId="2" borderId="34" xfId="0" applyFill="1" applyBorder="1" applyAlignment="1">
      <alignment vertical="center"/>
    </xf>
    <xf numFmtId="0" fontId="0" fillId="2" borderId="23" xfId="0" applyFill="1" applyBorder="1"/>
    <xf numFmtId="0" fontId="28" fillId="3" borderId="0" xfId="0" applyFont="1" applyFill="1"/>
    <xf numFmtId="0" fontId="3" fillId="3" borderId="11" xfId="0" applyFont="1" applyFill="1" applyBorder="1"/>
    <xf numFmtId="0" fontId="3" fillId="3" borderId="23" xfId="0" applyFont="1" applyFill="1" applyBorder="1"/>
    <xf numFmtId="0" fontId="4" fillId="3" borderId="0" xfId="0" applyFont="1" applyFill="1" applyBorder="1" applyAlignment="1">
      <alignment horizontal="center" vertical="center" wrapText="1"/>
    </xf>
    <xf numFmtId="3" fontId="4" fillId="3" borderId="0" xfId="0" applyNumberFormat="1" applyFont="1" applyFill="1" applyBorder="1" applyAlignment="1" applyProtection="1">
      <alignment horizontal="center" vertical="center" wrapText="1"/>
      <protection locked="0"/>
    </xf>
    <xf numFmtId="3" fontId="19" fillId="3" borderId="0" xfId="0" applyNumberFormat="1" applyFont="1" applyFill="1" applyBorder="1" applyAlignment="1" applyProtection="1">
      <alignment horizontal="center" vertical="center"/>
      <protection locked="0"/>
    </xf>
    <xf numFmtId="0" fontId="18" fillId="3" borderId="0" xfId="0" applyNumberFormat="1" applyFont="1" applyFill="1" applyBorder="1" applyAlignment="1" applyProtection="1">
      <alignment horizontal="center" vertical="center"/>
    </xf>
    <xf numFmtId="0" fontId="0" fillId="5" borderId="14" xfId="0" applyFill="1" applyBorder="1"/>
    <xf numFmtId="0" fontId="0" fillId="5" borderId="12" xfId="0" applyFill="1" applyBorder="1"/>
    <xf numFmtId="0" fontId="0" fillId="5" borderId="6" xfId="0" applyFill="1" applyBorder="1"/>
    <xf numFmtId="0" fontId="0" fillId="5" borderId="58" xfId="0" applyFill="1" applyBorder="1"/>
    <xf numFmtId="0" fontId="0" fillId="5" borderId="1" xfId="0" applyFill="1" applyBorder="1"/>
    <xf numFmtId="0" fontId="0" fillId="0" borderId="0" xfId="0" applyAlignment="1">
      <alignment horizontal="left"/>
    </xf>
    <xf numFmtId="49" fontId="0" fillId="12" borderId="1" xfId="0" applyNumberFormat="1" applyFill="1" applyBorder="1" applyAlignment="1">
      <alignment horizontal="left"/>
    </xf>
    <xf numFmtId="49" fontId="0" fillId="12" borderId="1" xfId="0" applyNumberFormat="1" applyFill="1" applyBorder="1" applyAlignment="1"/>
    <xf numFmtId="1" fontId="9" fillId="8" borderId="69" xfId="0" applyNumberFormat="1" applyFont="1" applyFill="1" applyBorder="1" applyAlignment="1" applyProtection="1">
      <alignment horizontal="center" vertical="center"/>
    </xf>
    <xf numFmtId="0" fontId="14" fillId="7" borderId="36" xfId="0" applyFont="1" applyFill="1" applyBorder="1" applyAlignment="1" applyProtection="1">
      <alignment vertical="top"/>
    </xf>
    <xf numFmtId="1" fontId="9" fillId="6" borderId="65" xfId="0" applyNumberFormat="1" applyFont="1" applyFill="1" applyBorder="1" applyAlignment="1" applyProtection="1">
      <alignment horizontal="center" vertical="center"/>
    </xf>
    <xf numFmtId="0" fontId="3" fillId="0" borderId="27" xfId="0" applyFont="1" applyBorder="1" applyAlignment="1">
      <alignment horizontal="left" vertical="top"/>
    </xf>
    <xf numFmtId="0" fontId="3" fillId="0" borderId="13" xfId="0" applyNumberFormat="1" applyFont="1" applyBorder="1" applyAlignment="1">
      <alignment horizontal="left" vertical="top" wrapText="1"/>
    </xf>
    <xf numFmtId="0" fontId="3" fillId="3" borderId="3"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2" borderId="19" xfId="0" applyFont="1" applyFill="1" applyBorder="1" applyAlignment="1" applyProtection="1">
      <alignment horizontal="left" vertical="top"/>
      <protection locked="0"/>
    </xf>
    <xf numFmtId="0" fontId="3" fillId="2" borderId="32" xfId="0" applyFont="1" applyFill="1" applyBorder="1" applyProtection="1">
      <protection locked="0"/>
    </xf>
    <xf numFmtId="0" fontId="29" fillId="0" borderId="1" xfId="0" applyFont="1" applyFill="1" applyBorder="1" applyAlignment="1">
      <alignment vertical="top"/>
    </xf>
    <xf numFmtId="0" fontId="4" fillId="3" borderId="66" xfId="0" applyFont="1" applyFill="1" applyBorder="1" applyAlignment="1">
      <alignment horizontal="left" vertical="center" wrapText="1"/>
    </xf>
    <xf numFmtId="0" fontId="3" fillId="3" borderId="34" xfId="0" applyFont="1" applyFill="1" applyBorder="1" applyAlignment="1">
      <alignment horizontal="left" vertical="top" wrapText="1"/>
    </xf>
    <xf numFmtId="0" fontId="23" fillId="4" borderId="30" xfId="0" applyFont="1" applyFill="1" applyBorder="1" applyAlignment="1">
      <alignment horizontal="center" vertical="center" wrapText="1"/>
    </xf>
    <xf numFmtId="0" fontId="23" fillId="4" borderId="26" xfId="0" applyFont="1" applyFill="1" applyBorder="1" applyAlignment="1">
      <alignment horizontal="center" vertical="center" wrapText="1"/>
    </xf>
    <xf numFmtId="0" fontId="23" fillId="4" borderId="55" xfId="0" applyFont="1" applyFill="1" applyBorder="1" applyAlignment="1">
      <alignment horizontal="center" vertical="center" wrapText="1"/>
    </xf>
    <xf numFmtId="0" fontId="23" fillId="4" borderId="28" xfId="0" applyFont="1" applyFill="1" applyBorder="1" applyAlignment="1">
      <alignment horizontal="center" vertical="center" wrapText="1"/>
    </xf>
    <xf numFmtId="0" fontId="23" fillId="4" borderId="24" xfId="0" applyFont="1" applyFill="1" applyBorder="1" applyAlignment="1">
      <alignment horizontal="center" vertical="center" wrapText="1"/>
    </xf>
    <xf numFmtId="0" fontId="1" fillId="13" borderId="37" xfId="0" applyFont="1" applyFill="1" applyBorder="1"/>
    <xf numFmtId="3" fontId="3" fillId="0" borderId="52" xfId="0" applyNumberFormat="1" applyFont="1" applyBorder="1" applyAlignment="1" applyProtection="1">
      <alignment horizontal="left" vertical="top" wrapText="1"/>
      <protection locked="0"/>
    </xf>
    <xf numFmtId="3" fontId="3" fillId="0" borderId="2" xfId="0" applyNumberFormat="1" applyFont="1" applyBorder="1" applyAlignment="1" applyProtection="1">
      <alignment horizontal="left" vertical="top" wrapText="1"/>
      <protection locked="0"/>
    </xf>
    <xf numFmtId="3" fontId="3" fillId="0" borderId="53" xfId="0" applyNumberFormat="1" applyFont="1" applyBorder="1" applyAlignment="1" applyProtection="1">
      <alignment horizontal="left" vertical="top" wrapText="1"/>
      <protection locked="0"/>
    </xf>
    <xf numFmtId="3" fontId="3" fillId="0" borderId="57" xfId="0" applyNumberFormat="1" applyFont="1" applyBorder="1" applyAlignment="1" applyProtection="1">
      <alignment horizontal="left" vertical="top" wrapText="1"/>
      <protection locked="0"/>
    </xf>
    <xf numFmtId="3" fontId="3" fillId="3" borderId="55" xfId="0" applyNumberFormat="1" applyFont="1" applyFill="1" applyBorder="1" applyAlignment="1" applyProtection="1">
      <alignment horizontal="center" vertical="center"/>
    </xf>
    <xf numFmtId="3" fontId="3" fillId="3" borderId="25" xfId="0" applyNumberFormat="1" applyFont="1" applyFill="1" applyBorder="1" applyAlignment="1" applyProtection="1">
      <alignment horizontal="center" vertical="center"/>
    </xf>
    <xf numFmtId="3" fontId="1" fillId="5" borderId="67" xfId="0" applyNumberFormat="1" applyFont="1" applyFill="1" applyBorder="1"/>
    <xf numFmtId="0" fontId="3" fillId="2" borderId="36" xfId="0" applyFont="1" applyFill="1" applyBorder="1" applyAlignment="1">
      <alignment vertical="top" wrapText="1"/>
    </xf>
    <xf numFmtId="0" fontId="3" fillId="2" borderId="40" xfId="0" applyFont="1" applyFill="1" applyBorder="1" applyAlignment="1">
      <alignment vertical="top" wrapText="1"/>
    </xf>
    <xf numFmtId="3" fontId="25" fillId="14" borderId="31" xfId="0" applyNumberFormat="1" applyFont="1" applyFill="1" applyBorder="1" applyAlignment="1">
      <alignment horizontal="center" vertical="center"/>
    </xf>
    <xf numFmtId="3" fontId="25" fillId="14" borderId="22" xfId="0" applyNumberFormat="1" applyFont="1" applyFill="1" applyBorder="1" applyAlignment="1">
      <alignment horizontal="center" vertical="center"/>
    </xf>
    <xf numFmtId="3" fontId="25" fillId="14" borderId="24" xfId="0" applyNumberFormat="1" applyFont="1" applyFill="1" applyBorder="1" applyAlignment="1">
      <alignment horizontal="center" vertical="center"/>
    </xf>
    <xf numFmtId="3" fontId="25" fillId="16" borderId="71" xfId="0" applyNumberFormat="1" applyFont="1" applyFill="1" applyBorder="1" applyAlignment="1">
      <alignment horizontal="center" vertical="center"/>
    </xf>
    <xf numFmtId="3" fontId="25" fillId="16" borderId="41" xfId="0" applyNumberFormat="1" applyFont="1" applyFill="1" applyBorder="1" applyAlignment="1">
      <alignment horizontal="center" vertical="center"/>
    </xf>
    <xf numFmtId="3" fontId="25" fillId="16" borderId="72" xfId="0" applyNumberFormat="1" applyFont="1" applyFill="1" applyBorder="1" applyAlignment="1">
      <alignment horizontal="center" vertical="center"/>
    </xf>
    <xf numFmtId="3" fontId="25" fillId="16" borderId="37" xfId="0" applyNumberFormat="1" applyFont="1" applyFill="1" applyBorder="1" applyAlignment="1">
      <alignment horizontal="center" vertical="center"/>
    </xf>
    <xf numFmtId="3" fontId="25" fillId="16" borderId="20" xfId="0" applyNumberFormat="1" applyFont="1" applyFill="1" applyBorder="1" applyAlignment="1">
      <alignment horizontal="center" vertical="center"/>
    </xf>
    <xf numFmtId="3" fontId="25" fillId="16" borderId="21" xfId="0" applyNumberFormat="1" applyFont="1" applyFill="1" applyBorder="1" applyAlignment="1">
      <alignment horizontal="center" vertical="center"/>
    </xf>
    <xf numFmtId="3" fontId="25" fillId="14" borderId="4" xfId="0" applyNumberFormat="1" applyFont="1" applyFill="1" applyBorder="1" applyAlignment="1">
      <alignment horizontal="center" vertical="center"/>
    </xf>
    <xf numFmtId="3" fontId="25" fillId="14" borderId="10" xfId="0" applyNumberFormat="1" applyFont="1" applyFill="1" applyBorder="1" applyAlignment="1">
      <alignment horizontal="center" vertical="center"/>
    </xf>
    <xf numFmtId="3" fontId="25" fillId="14" borderId="45" xfId="0" applyNumberFormat="1" applyFont="1" applyFill="1" applyBorder="1" applyAlignment="1">
      <alignment horizontal="center" vertical="center"/>
    </xf>
    <xf numFmtId="3" fontId="25" fillId="14" borderId="42" xfId="0" applyNumberFormat="1" applyFont="1" applyFill="1" applyBorder="1" applyAlignment="1">
      <alignment horizontal="center" vertical="center"/>
    </xf>
    <xf numFmtId="3" fontId="25" fillId="16" borderId="44" xfId="0" applyNumberFormat="1" applyFont="1" applyFill="1" applyBorder="1" applyAlignment="1">
      <alignment horizontal="center" vertical="center"/>
    </xf>
    <xf numFmtId="3" fontId="25" fillId="16" borderId="54" xfId="0" applyNumberFormat="1" applyFont="1" applyFill="1" applyBorder="1" applyAlignment="1">
      <alignment horizontal="center" vertical="center"/>
    </xf>
    <xf numFmtId="0" fontId="4" fillId="2" borderId="33" xfId="0" applyFont="1" applyFill="1" applyBorder="1" applyAlignment="1" applyProtection="1">
      <alignment horizontal="left" vertical="top" wrapText="1"/>
    </xf>
    <xf numFmtId="0" fontId="3" fillId="3" borderId="34" xfId="0" applyFont="1" applyFill="1" applyBorder="1" applyAlignment="1">
      <alignment horizontal="left" vertical="top" wrapText="1"/>
    </xf>
    <xf numFmtId="14" fontId="0" fillId="0" borderId="15" xfId="0" applyNumberFormat="1" applyFont="1" applyBorder="1"/>
    <xf numFmtId="14" fontId="11" fillId="3" borderId="19" xfId="0" applyNumberFormat="1"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top" wrapText="1"/>
    </xf>
    <xf numFmtId="0" fontId="3" fillId="0" borderId="24" xfId="0" applyFont="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9" xfId="0" applyFont="1" applyBorder="1" applyAlignment="1" applyProtection="1">
      <alignment vertical="top" wrapText="1"/>
    </xf>
    <xf numFmtId="0" fontId="3" fillId="0" borderId="20" xfId="0" applyFont="1" applyFill="1" applyBorder="1" applyAlignment="1" applyProtection="1">
      <alignment horizontal="left" vertical="top" wrapText="1"/>
    </xf>
    <xf numFmtId="0" fontId="3" fillId="0" borderId="21" xfId="0" applyFont="1" applyBorder="1" applyAlignment="1" applyProtection="1">
      <alignment horizontal="left" vertical="top" wrapText="1"/>
    </xf>
    <xf numFmtId="0" fontId="25" fillId="14" borderId="34" xfId="0" applyFont="1" applyFill="1" applyBorder="1" applyAlignment="1">
      <alignment horizontal="left" vertical="top" wrapText="1"/>
    </xf>
    <xf numFmtId="3" fontId="3" fillId="2" borderId="29" xfId="0" applyNumberFormat="1" applyFont="1" applyFill="1" applyBorder="1" applyAlignment="1" applyProtection="1">
      <alignment horizontal="center" vertical="center" wrapText="1"/>
    </xf>
    <xf numFmtId="0" fontId="0" fillId="0" borderId="0" xfId="0" applyAlignment="1">
      <alignment vertical="center"/>
    </xf>
    <xf numFmtId="3" fontId="23" fillId="4" borderId="56" xfId="0" applyNumberFormat="1" applyFont="1" applyFill="1" applyBorder="1" applyAlignment="1" applyProtection="1">
      <alignment horizontal="center" vertical="center" wrapText="1"/>
    </xf>
    <xf numFmtId="3" fontId="23" fillId="4" borderId="34" xfId="0" applyNumberFormat="1" applyFont="1" applyFill="1" applyBorder="1" applyAlignment="1" applyProtection="1">
      <alignment horizontal="center" vertical="center" wrapText="1"/>
    </xf>
    <xf numFmtId="3" fontId="23" fillId="4" borderId="66" xfId="0" applyNumberFormat="1" applyFont="1" applyFill="1" applyBorder="1" applyAlignment="1" applyProtection="1">
      <alignment horizontal="center" vertical="center" wrapText="1"/>
    </xf>
    <xf numFmtId="3" fontId="23" fillId="4" borderId="19" xfId="0" applyNumberFormat="1" applyFont="1" applyFill="1" applyBorder="1" applyAlignment="1" applyProtection="1">
      <alignment horizontal="center" vertical="center" wrapText="1"/>
    </xf>
    <xf numFmtId="49" fontId="11" fillId="0" borderId="40" xfId="0" applyNumberFormat="1" applyFont="1" applyBorder="1" applyProtection="1"/>
    <xf numFmtId="1" fontId="9" fillId="9" borderId="38" xfId="0" applyNumberFormat="1" applyFont="1" applyFill="1" applyBorder="1" applyAlignment="1" applyProtection="1">
      <alignment horizontal="center" vertical="center"/>
    </xf>
    <xf numFmtId="49" fontId="27" fillId="0" borderId="65" xfId="2" applyNumberFormat="1" applyFont="1" applyBorder="1" applyAlignment="1" applyProtection="1">
      <alignment horizontal="left" vertical="top"/>
      <protection locked="0"/>
    </xf>
    <xf numFmtId="49" fontId="27" fillId="0" borderId="3" xfId="2" applyNumberFormat="1" applyFont="1" applyBorder="1" applyAlignment="1" applyProtection="1">
      <alignment horizontal="left" vertical="top"/>
      <protection locked="0"/>
    </xf>
    <xf numFmtId="49" fontId="27" fillId="0" borderId="15" xfId="2" applyNumberFormat="1" applyFont="1" applyBorder="1" applyAlignment="1" applyProtection="1">
      <alignment horizontal="left" vertical="top"/>
      <protection locked="0"/>
    </xf>
    <xf numFmtId="49" fontId="27" fillId="0" borderId="64" xfId="2" applyNumberFormat="1" applyFont="1" applyBorder="1" applyAlignment="1" applyProtection="1">
      <alignment horizontal="left" vertical="top"/>
      <protection locked="0"/>
    </xf>
    <xf numFmtId="49" fontId="27" fillId="0" borderId="47" xfId="2" applyNumberFormat="1" applyFont="1" applyBorder="1" applyAlignment="1" applyProtection="1">
      <alignment horizontal="left" vertical="top"/>
      <protection locked="0"/>
    </xf>
    <xf numFmtId="49" fontId="27" fillId="0" borderId="54" xfId="2" applyNumberFormat="1" applyFont="1" applyBorder="1" applyAlignment="1" applyProtection="1">
      <alignment horizontal="left" vertical="top"/>
      <protection locked="0"/>
    </xf>
    <xf numFmtId="49" fontId="27" fillId="0" borderId="63" xfId="2" applyNumberFormat="1" applyFont="1" applyBorder="1" applyAlignment="1" applyProtection="1">
      <alignment horizontal="left" vertical="top" wrapText="1"/>
      <protection locked="0"/>
    </xf>
    <xf numFmtId="49" fontId="27" fillId="0" borderId="46" xfId="2" applyNumberFormat="1" applyFont="1" applyBorder="1" applyAlignment="1" applyProtection="1">
      <alignment horizontal="left" vertical="top" wrapText="1"/>
      <protection locked="0"/>
    </xf>
    <xf numFmtId="49" fontId="27" fillId="0" borderId="42" xfId="2" applyNumberFormat="1" applyFont="1" applyBorder="1" applyAlignment="1" applyProtection="1">
      <alignment horizontal="left" vertical="top" wrapText="1"/>
      <protection locked="0"/>
    </xf>
    <xf numFmtId="0" fontId="14" fillId="7" borderId="66" xfId="0" applyFont="1" applyFill="1" applyBorder="1" applyAlignment="1" applyProtection="1">
      <alignment horizontal="left" vertical="top"/>
    </xf>
    <xf numFmtId="0" fontId="14" fillId="7" borderId="49" xfId="0" applyFont="1" applyFill="1" applyBorder="1" applyAlignment="1" applyProtection="1">
      <alignment horizontal="left" vertical="top"/>
    </xf>
    <xf numFmtId="0" fontId="12" fillId="2" borderId="63"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42" xfId="0" applyFont="1" applyFill="1" applyBorder="1" applyAlignment="1" applyProtection="1">
      <alignment horizontal="left" vertical="center" wrapText="1"/>
    </xf>
    <xf numFmtId="0" fontId="15" fillId="8" borderId="25" xfId="0" applyFont="1" applyFill="1" applyBorder="1" applyAlignment="1" applyProtection="1">
      <alignment horizontal="left" vertical="top"/>
    </xf>
    <xf numFmtId="0" fontId="15" fillId="8" borderId="27" xfId="0" applyFont="1" applyFill="1" applyBorder="1" applyAlignment="1" applyProtection="1">
      <alignment horizontal="left" vertical="top"/>
    </xf>
    <xf numFmtId="0" fontId="15" fillId="8" borderId="26" xfId="0" applyFont="1" applyFill="1" applyBorder="1" applyAlignment="1" applyProtection="1">
      <alignment horizontal="left" vertical="top"/>
    </xf>
    <xf numFmtId="0" fontId="12" fillId="2" borderId="63"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0" fillId="2" borderId="64" xfId="0" applyFill="1" applyBorder="1" applyAlignment="1" applyProtection="1">
      <alignment horizontal="center"/>
    </xf>
    <xf numFmtId="0" fontId="0" fillId="2" borderId="37" xfId="0" applyFill="1" applyBorder="1" applyAlignment="1" applyProtection="1">
      <alignment horizontal="center"/>
    </xf>
    <xf numFmtId="0" fontId="12" fillId="2" borderId="64" xfId="0" applyFont="1" applyFill="1" applyBorder="1" applyAlignment="1" applyProtection="1">
      <alignment horizontal="center" vertical="center" wrapText="1"/>
    </xf>
    <xf numFmtId="0" fontId="12" fillId="2" borderId="47" xfId="0" applyFont="1" applyFill="1" applyBorder="1" applyAlignment="1" applyProtection="1">
      <alignment horizontal="center" vertical="center" wrapText="1"/>
    </xf>
    <xf numFmtId="49" fontId="26" fillId="0" borderId="64" xfId="0" applyNumberFormat="1" applyFont="1" applyBorder="1" applyAlignment="1" applyProtection="1">
      <alignment horizontal="left" vertical="top" wrapText="1"/>
      <protection locked="0"/>
    </xf>
    <xf numFmtId="49" fontId="26" fillId="0" borderId="54" xfId="0" applyNumberFormat="1" applyFont="1" applyBorder="1" applyAlignment="1" applyProtection="1">
      <alignment horizontal="left" vertical="top" wrapText="1"/>
      <protection locked="0"/>
    </xf>
    <xf numFmtId="49" fontId="26" fillId="0" borderId="25" xfId="0" applyNumberFormat="1" applyFont="1" applyBorder="1" applyAlignment="1" applyProtection="1">
      <alignment horizontal="left" vertical="top" wrapText="1"/>
      <protection locked="0"/>
    </xf>
    <xf numFmtId="49" fontId="26" fillId="0" borderId="26" xfId="0" applyNumberFormat="1" applyFont="1" applyBorder="1" applyAlignment="1" applyProtection="1">
      <alignment horizontal="left" vertical="top" wrapText="1"/>
      <protection locked="0"/>
    </xf>
    <xf numFmtId="0" fontId="4" fillId="0" borderId="49" xfId="0" applyFont="1" applyFill="1" applyBorder="1" applyAlignment="1" applyProtection="1">
      <alignment horizontal="left" vertical="top"/>
    </xf>
    <xf numFmtId="0" fontId="7" fillId="0" borderId="12"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0" borderId="44" xfId="0" applyFont="1" applyFill="1" applyBorder="1" applyAlignment="1" applyProtection="1">
      <alignment horizontal="left" vertical="top"/>
    </xf>
    <xf numFmtId="0" fontId="7" fillId="0" borderId="20" xfId="0" applyFont="1" applyFill="1" applyBorder="1" applyAlignment="1" applyProtection="1">
      <alignment horizontal="left" vertical="top"/>
    </xf>
    <xf numFmtId="0" fontId="8" fillId="6" borderId="66" xfId="0" applyFont="1" applyFill="1" applyBorder="1" applyAlignment="1" applyProtection="1">
      <alignment horizontal="left"/>
    </xf>
    <xf numFmtId="0" fontId="8" fillId="6" borderId="49" xfId="0" applyFont="1" applyFill="1" applyBorder="1" applyAlignment="1" applyProtection="1">
      <alignment horizontal="left"/>
    </xf>
    <xf numFmtId="0" fontId="8" fillId="6" borderId="36" xfId="0" applyFont="1" applyFill="1" applyBorder="1" applyAlignment="1" applyProtection="1">
      <alignment horizontal="left"/>
    </xf>
    <xf numFmtId="49" fontId="3" fillId="0" borderId="12" xfId="0" applyNumberFormat="1" applyFont="1" applyBorder="1" applyAlignment="1" applyProtection="1">
      <alignment horizontal="left" vertical="top" wrapText="1"/>
      <protection locked="0"/>
    </xf>
    <xf numFmtId="49" fontId="3" fillId="0" borderId="9" xfId="0" applyNumberFormat="1" applyFont="1" applyBorder="1" applyAlignment="1" applyProtection="1">
      <alignment horizontal="left" vertical="top" wrapText="1"/>
      <protection locked="0"/>
    </xf>
    <xf numFmtId="0" fontId="3" fillId="0" borderId="0" xfId="0" applyFont="1" applyBorder="1" applyAlignment="1" applyProtection="1">
      <alignment horizontal="left" vertical="top"/>
    </xf>
    <xf numFmtId="0" fontId="3" fillId="0" borderId="18" xfId="0" applyFont="1" applyBorder="1" applyAlignment="1" applyProtection="1">
      <alignment horizontal="left" vertical="top"/>
    </xf>
    <xf numFmtId="0" fontId="4" fillId="2" borderId="25" xfId="0" applyFont="1" applyFill="1" applyBorder="1" applyAlignment="1" applyProtection="1">
      <alignment horizontal="left" vertical="top" wrapText="1"/>
    </xf>
    <xf numFmtId="0" fontId="4" fillId="2" borderId="27" xfId="0" applyFont="1" applyFill="1" applyBorder="1" applyAlignment="1" applyProtection="1">
      <alignment horizontal="left" vertical="top" wrapText="1"/>
    </xf>
    <xf numFmtId="0" fontId="4" fillId="2" borderId="32" xfId="0" applyFont="1" applyFill="1" applyBorder="1" applyAlignment="1" applyProtection="1">
      <alignment horizontal="left" vertical="top" wrapText="1"/>
    </xf>
    <xf numFmtId="0" fontId="4" fillId="2" borderId="33" xfId="0" applyFont="1" applyFill="1" applyBorder="1" applyAlignment="1" applyProtection="1">
      <alignment horizontal="left" vertical="top" wrapText="1"/>
    </xf>
    <xf numFmtId="49" fontId="3" fillId="0" borderId="44" xfId="0" applyNumberFormat="1" applyFont="1" applyBorder="1" applyAlignment="1" applyProtection="1">
      <alignment horizontal="left" vertical="top" wrapText="1"/>
      <protection locked="0"/>
    </xf>
    <xf numFmtId="49" fontId="3" fillId="0" borderId="21" xfId="0" applyNumberFormat="1" applyFont="1" applyBorder="1" applyAlignment="1" applyProtection="1">
      <alignment horizontal="left" vertical="top" wrapText="1"/>
      <protection locked="0"/>
    </xf>
    <xf numFmtId="0" fontId="3" fillId="0" borderId="31" xfId="0" applyFont="1" applyBorder="1" applyAlignment="1" applyProtection="1">
      <alignment horizontal="left" vertical="top" wrapText="1"/>
    </xf>
    <xf numFmtId="0" fontId="3" fillId="0" borderId="22"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37" xfId="0" applyFont="1" applyBorder="1" applyAlignment="1" applyProtection="1">
      <alignment horizontal="left" vertical="top" wrapText="1"/>
    </xf>
    <xf numFmtId="0" fontId="3" fillId="0" borderId="20" xfId="0" applyFont="1" applyBorder="1" applyAlignment="1" applyProtection="1">
      <alignment horizontal="left" vertical="top" wrapText="1"/>
    </xf>
    <xf numFmtId="49" fontId="3" fillId="0" borderId="45" xfId="0" applyNumberFormat="1" applyFont="1" applyBorder="1" applyAlignment="1" applyProtection="1">
      <alignment horizontal="left" vertical="top" wrapText="1"/>
      <protection locked="0"/>
    </xf>
    <xf numFmtId="49" fontId="3" fillId="0" borderId="24" xfId="0" applyNumberFormat="1" applyFont="1" applyBorder="1" applyAlignment="1" applyProtection="1">
      <alignment horizontal="left" vertical="top" wrapText="1"/>
      <protection locked="0"/>
    </xf>
    <xf numFmtId="0" fontId="8" fillId="10" borderId="2" xfId="0" applyFont="1" applyFill="1" applyBorder="1" applyAlignment="1">
      <alignment horizontal="left" vertical="top"/>
    </xf>
    <xf numFmtId="0" fontId="8" fillId="10" borderId="3" xfId="0" applyFont="1" applyFill="1" applyBorder="1" applyAlignment="1">
      <alignment horizontal="left" vertical="top"/>
    </xf>
    <xf numFmtId="0" fontId="8" fillId="10" borderId="7" xfId="0" applyFont="1" applyFill="1" applyBorder="1" applyAlignment="1">
      <alignment horizontal="left" vertical="top"/>
    </xf>
    <xf numFmtId="0" fontId="3" fillId="0" borderId="45"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27" xfId="0" applyFont="1" applyBorder="1" applyAlignment="1">
      <alignment horizontal="center"/>
    </xf>
    <xf numFmtId="0" fontId="3" fillId="0" borderId="27" xfId="0" applyFont="1" applyBorder="1" applyAlignment="1">
      <alignment horizontal="left" vertical="top"/>
    </xf>
    <xf numFmtId="0" fontId="3" fillId="0" borderId="0" xfId="0" applyFont="1" applyFill="1" applyBorder="1" applyAlignment="1">
      <alignment horizontal="left" vertical="top"/>
    </xf>
    <xf numFmtId="0" fontId="3" fillId="0" borderId="22" xfId="0" applyNumberFormat="1" applyFont="1" applyBorder="1" applyAlignment="1">
      <alignment horizontal="left" vertical="top" wrapText="1"/>
    </xf>
    <xf numFmtId="0" fontId="3" fillId="0" borderId="20" xfId="0" applyNumberFormat="1" applyFont="1" applyBorder="1" applyAlignment="1">
      <alignment horizontal="left" vertical="top" wrapText="1"/>
    </xf>
    <xf numFmtId="0" fontId="3" fillId="0" borderId="45" xfId="0" applyNumberFormat="1" applyFont="1" applyBorder="1" applyAlignment="1">
      <alignment horizontal="left" vertical="top" wrapText="1"/>
    </xf>
    <xf numFmtId="0" fontId="3" fillId="0" borderId="44" xfId="0" applyNumberFormat="1" applyFont="1" applyBorder="1" applyAlignment="1">
      <alignment horizontal="lef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3" fillId="0" borderId="28"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41"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26" xfId="0" applyFont="1" applyFill="1" applyBorder="1" applyAlignment="1">
      <alignment horizontal="left" vertical="top" wrapText="1"/>
    </xf>
    <xf numFmtId="0" fontId="3" fillId="0" borderId="36" xfId="0" applyFont="1" applyBorder="1" applyAlignment="1">
      <alignment horizontal="left" vertical="top" wrapText="1"/>
    </xf>
    <xf numFmtId="0" fontId="3" fillId="0" borderId="16" xfId="0" applyFont="1" applyBorder="1" applyAlignment="1">
      <alignment horizontal="left" vertical="top" wrapText="1"/>
    </xf>
    <xf numFmtId="0" fontId="3" fillId="0" borderId="40" xfId="0" applyFont="1" applyBorder="1" applyAlignment="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3" fillId="0" borderId="56" xfId="0" applyNumberFormat="1" applyFont="1" applyBorder="1" applyAlignment="1">
      <alignment horizontal="left" vertical="top" wrapText="1"/>
    </xf>
    <xf numFmtId="0" fontId="3" fillId="0" borderId="51" xfId="0" applyNumberFormat="1" applyFont="1" applyBorder="1" applyAlignment="1">
      <alignment horizontal="left" vertical="top" wrapText="1"/>
    </xf>
    <xf numFmtId="0" fontId="3" fillId="2" borderId="25" xfId="0" applyFont="1" applyFill="1" applyBorder="1" applyAlignment="1">
      <alignment horizontal="center" vertical="top" wrapText="1"/>
    </xf>
    <xf numFmtId="0" fontId="3" fillId="2" borderId="26" xfId="0" applyFont="1" applyFill="1" applyBorder="1" applyAlignment="1">
      <alignment horizontal="center" vertical="top"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3" fontId="3" fillId="2" borderId="66" xfId="0" applyNumberFormat="1" applyFont="1" applyFill="1" applyBorder="1" applyAlignment="1" applyProtection="1">
      <alignment horizontal="center" vertical="center" wrapText="1"/>
    </xf>
    <xf numFmtId="3" fontId="3" fillId="2" borderId="36" xfId="0" applyNumberFormat="1" applyFont="1" applyFill="1" applyBorder="1" applyAlignment="1" applyProtection="1">
      <alignment horizontal="center" vertical="center" wrapText="1"/>
    </xf>
    <xf numFmtId="3" fontId="3" fillId="2" borderId="48" xfId="0" applyNumberFormat="1" applyFont="1" applyFill="1" applyBorder="1" applyAlignment="1" applyProtection="1">
      <alignment horizontal="center" vertical="center" wrapText="1"/>
    </xf>
    <xf numFmtId="3" fontId="3" fillId="2" borderId="16" xfId="0" applyNumberFormat="1" applyFont="1" applyFill="1" applyBorder="1" applyAlignment="1" applyProtection="1">
      <alignment horizontal="center" vertical="center" wrapText="1"/>
    </xf>
    <xf numFmtId="3" fontId="3" fillId="2" borderId="62" xfId="0" applyNumberFormat="1" applyFont="1" applyFill="1" applyBorder="1" applyAlignment="1" applyProtection="1">
      <alignment horizontal="center" vertical="center" wrapText="1"/>
    </xf>
    <xf numFmtId="3" fontId="3" fillId="2" borderId="40" xfId="0" applyNumberFormat="1" applyFont="1" applyFill="1" applyBorder="1" applyAlignment="1" applyProtection="1">
      <alignment horizontal="center" vertical="center" wrapText="1"/>
    </xf>
    <xf numFmtId="0" fontId="3" fillId="0" borderId="28" xfId="0" applyNumberFormat="1" applyFont="1" applyBorder="1" applyAlignment="1">
      <alignment horizontal="left" vertical="top" wrapText="1"/>
    </xf>
    <xf numFmtId="0" fontId="3" fillId="0" borderId="41" xfId="0" applyNumberFormat="1" applyFont="1" applyBorder="1" applyAlignment="1">
      <alignment horizontal="left" vertical="top" wrapText="1"/>
    </xf>
    <xf numFmtId="0" fontId="7" fillId="0" borderId="1" xfId="0" applyFont="1" applyBorder="1" applyAlignment="1">
      <alignment horizontal="left" vertical="top"/>
    </xf>
    <xf numFmtId="0" fontId="3" fillId="0" borderId="12" xfId="0" applyFont="1" applyFill="1" applyBorder="1" applyAlignment="1">
      <alignment horizontal="left" vertical="top" wrapText="1"/>
    </xf>
    <xf numFmtId="0" fontId="3" fillId="0" borderId="13" xfId="0" applyNumberFormat="1" applyFont="1" applyBorder="1" applyAlignment="1">
      <alignment horizontal="left" vertical="top" wrapText="1"/>
    </xf>
    <xf numFmtId="0" fontId="16" fillId="10" borderId="0" xfId="0" applyFont="1" applyFill="1" applyAlignment="1">
      <alignment horizontal="left"/>
    </xf>
    <xf numFmtId="14" fontId="10" fillId="0" borderId="1" xfId="0" applyNumberFormat="1" applyFont="1" applyBorder="1" applyAlignment="1" applyProtection="1">
      <alignment horizontal="left" vertical="center"/>
      <protection locked="0"/>
    </xf>
    <xf numFmtId="49" fontId="17" fillId="0" borderId="1" xfId="0" applyNumberFormat="1" applyFont="1" applyBorder="1" applyAlignment="1">
      <alignment horizontal="left" vertical="top"/>
    </xf>
    <xf numFmtId="0" fontId="3" fillId="2" borderId="25" xfId="0" applyFont="1" applyFill="1" applyBorder="1" applyAlignment="1">
      <alignment horizontal="center"/>
    </xf>
    <xf numFmtId="0" fontId="3" fillId="2" borderId="27" xfId="0" applyFont="1" applyFill="1" applyBorder="1" applyAlignment="1">
      <alignment horizontal="center"/>
    </xf>
    <xf numFmtId="0" fontId="3" fillId="2" borderId="26" xfId="0" applyFont="1" applyFill="1" applyBorder="1" applyAlignment="1">
      <alignment horizontal="center"/>
    </xf>
    <xf numFmtId="49" fontId="4" fillId="0" borderId="34"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23" xfId="0" applyNumberFormat="1" applyFont="1" applyFill="1" applyBorder="1" applyAlignment="1" applyProtection="1">
      <alignment horizontal="left" vertical="top" wrapText="1"/>
      <protection locked="0"/>
    </xf>
    <xf numFmtId="0" fontId="4" fillId="2" borderId="25" xfId="0" applyFont="1" applyFill="1" applyBorder="1" applyAlignment="1">
      <alignment horizontal="left" vertical="center"/>
    </xf>
    <xf numFmtId="0" fontId="4" fillId="2" borderId="27" xfId="0" applyFont="1" applyFill="1" applyBorder="1" applyAlignment="1">
      <alignment horizontal="left" vertical="center"/>
    </xf>
    <xf numFmtId="0" fontId="4" fillId="2" borderId="26" xfId="0" applyFont="1" applyFill="1" applyBorder="1" applyAlignment="1">
      <alignment horizontal="left" vertical="center"/>
    </xf>
    <xf numFmtId="0" fontId="3" fillId="3" borderId="46" xfId="0" applyFont="1" applyFill="1" applyBorder="1" applyAlignment="1">
      <alignment horizontal="left" vertical="top" wrapText="1"/>
    </xf>
    <xf numFmtId="0" fontId="3" fillId="3" borderId="4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50" xfId="0" applyFont="1" applyFill="1" applyBorder="1" applyAlignment="1">
      <alignment horizontal="left" vertical="top" wrapText="1"/>
    </xf>
    <xf numFmtId="0" fontId="3" fillId="3" borderId="40" xfId="0" applyFont="1" applyFill="1" applyBorder="1" applyAlignment="1">
      <alignment horizontal="left" vertical="top" wrapText="1"/>
    </xf>
    <xf numFmtId="0" fontId="6" fillId="2" borderId="25" xfId="0" applyFont="1" applyFill="1" applyBorder="1" applyAlignment="1">
      <alignment horizontal="center" vertical="top"/>
    </xf>
    <xf numFmtId="0" fontId="6" fillId="2" borderId="27" xfId="0" applyFont="1" applyFill="1" applyBorder="1" applyAlignment="1">
      <alignment horizontal="center" vertical="top"/>
    </xf>
    <xf numFmtId="0" fontId="6" fillId="2" borderId="26" xfId="0" applyFont="1" applyFill="1" applyBorder="1" applyAlignment="1">
      <alignment horizontal="center" vertical="top"/>
    </xf>
    <xf numFmtId="0" fontId="3" fillId="0" borderId="53"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0" borderId="52" xfId="0"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4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15" xfId="0" applyFont="1" applyFill="1" applyBorder="1" applyAlignment="1">
      <alignment horizontal="left" vertical="top"/>
    </xf>
    <xf numFmtId="0" fontId="30" fillId="10" borderId="0" xfId="0" applyFont="1" applyFill="1" applyAlignment="1">
      <alignment horizontal="left"/>
    </xf>
    <xf numFmtId="49" fontId="4" fillId="0" borderId="34" xfId="0" applyNumberFormat="1" applyFont="1" applyFill="1" applyBorder="1" applyAlignment="1" applyProtection="1">
      <alignment horizontal="center" vertical="top" wrapText="1"/>
      <protection locked="0"/>
    </xf>
    <xf numFmtId="49" fontId="4" fillId="0" borderId="11" xfId="0" applyNumberFormat="1" applyFont="1" applyFill="1" applyBorder="1" applyAlignment="1" applyProtection="1">
      <alignment horizontal="center" vertical="top" wrapText="1"/>
      <protection locked="0"/>
    </xf>
    <xf numFmtId="49" fontId="4" fillId="0" borderId="23" xfId="0" applyNumberFormat="1" applyFont="1" applyFill="1" applyBorder="1" applyAlignment="1" applyProtection="1">
      <alignment horizontal="center" vertical="top" wrapText="1"/>
      <protection locked="0"/>
    </xf>
    <xf numFmtId="0" fontId="3" fillId="0" borderId="46"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3" borderId="23" xfId="0" applyFont="1" applyFill="1" applyBorder="1" applyAlignment="1">
      <alignment horizontal="left" vertical="top" wrapText="1"/>
    </xf>
    <xf numFmtId="0" fontId="31" fillId="10" borderId="0" xfId="0" applyFont="1" applyFill="1" applyAlignment="1">
      <alignment horizontal="left"/>
    </xf>
    <xf numFmtId="0" fontId="4" fillId="2" borderId="25" xfId="0" applyFont="1" applyFill="1" applyBorder="1" applyAlignment="1">
      <alignment horizontal="left" vertical="top"/>
    </xf>
    <xf numFmtId="0" fontId="4" fillId="2" borderId="27" xfId="0" applyFont="1" applyFill="1" applyBorder="1" applyAlignment="1">
      <alignment horizontal="left" vertical="top"/>
    </xf>
    <xf numFmtId="0" fontId="4" fillId="2" borderId="26" xfId="0" applyFont="1" applyFill="1" applyBorder="1" applyAlignment="1">
      <alignment horizontal="left" vertical="top"/>
    </xf>
    <xf numFmtId="0" fontId="3" fillId="3" borderId="25"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3" borderId="26" xfId="0" applyFont="1" applyFill="1" applyBorder="1" applyAlignment="1">
      <alignment horizontal="left" vertical="top" wrapText="1"/>
    </xf>
    <xf numFmtId="49" fontId="3" fillId="0" borderId="34" xfId="0" applyNumberFormat="1" applyFont="1" applyFill="1" applyBorder="1" applyAlignment="1" applyProtection="1">
      <alignment horizontal="center" vertical="top" wrapText="1"/>
      <protection locked="0"/>
    </xf>
    <xf numFmtId="49" fontId="3" fillId="0" borderId="11" xfId="0" applyNumberFormat="1" applyFont="1" applyFill="1" applyBorder="1" applyAlignment="1" applyProtection="1">
      <alignment horizontal="center" vertical="top" wrapText="1"/>
      <protection locked="0"/>
    </xf>
    <xf numFmtId="49" fontId="3" fillId="0" borderId="23" xfId="0" applyNumberFormat="1" applyFont="1" applyFill="1" applyBorder="1" applyAlignment="1" applyProtection="1">
      <alignment horizontal="center" vertical="top" wrapText="1"/>
      <protection locked="0"/>
    </xf>
    <xf numFmtId="0" fontId="3" fillId="3" borderId="63" xfId="0" applyFont="1" applyFill="1" applyBorder="1" applyAlignment="1">
      <alignment horizontal="left" vertical="top" wrapText="1"/>
    </xf>
    <xf numFmtId="0" fontId="3" fillId="3" borderId="65" xfId="0" applyFont="1" applyFill="1" applyBorder="1" applyAlignment="1">
      <alignment horizontal="left" vertical="top" wrapText="1"/>
    </xf>
    <xf numFmtId="0" fontId="3" fillId="3" borderId="62" xfId="0" applyFont="1" applyFill="1" applyBorder="1" applyAlignment="1">
      <alignment horizontal="left" vertical="top" wrapText="1"/>
    </xf>
    <xf numFmtId="0" fontId="3" fillId="2" borderId="66" xfId="0" applyNumberFormat="1" applyFont="1" applyFill="1" applyBorder="1" applyAlignment="1">
      <alignment horizontal="center" vertical="center"/>
    </xf>
    <xf numFmtId="0" fontId="3" fillId="2" borderId="49" xfId="0" applyNumberFormat="1" applyFont="1" applyFill="1" applyBorder="1" applyAlignment="1">
      <alignment horizontal="center" vertical="center"/>
    </xf>
    <xf numFmtId="0" fontId="3" fillId="2" borderId="36" xfId="0" applyNumberFormat="1" applyFont="1" applyFill="1" applyBorder="1" applyAlignment="1">
      <alignment horizontal="center" vertical="center"/>
    </xf>
    <xf numFmtId="0" fontId="4" fillId="2" borderId="27" xfId="0" applyFont="1" applyFill="1" applyBorder="1" applyAlignment="1">
      <alignment horizontal="center" vertical="center" wrapText="1"/>
    </xf>
    <xf numFmtId="0" fontId="3" fillId="2" borderId="66" xfId="0" applyFont="1" applyFill="1" applyBorder="1" applyAlignment="1">
      <alignment horizontal="center"/>
    </xf>
    <xf numFmtId="0" fontId="3" fillId="2" borderId="36" xfId="0" applyFont="1" applyFill="1" applyBorder="1" applyAlignment="1">
      <alignment horizontal="center"/>
    </xf>
    <xf numFmtId="0" fontId="3" fillId="2" borderId="48" xfId="0" applyFont="1" applyFill="1" applyBorder="1" applyAlignment="1">
      <alignment horizontal="center"/>
    </xf>
    <xf numFmtId="0" fontId="3" fillId="2" borderId="16" xfId="0" applyFont="1" applyFill="1" applyBorder="1" applyAlignment="1">
      <alignment horizontal="center"/>
    </xf>
    <xf numFmtId="0" fontId="3" fillId="2" borderId="62" xfId="0" applyFont="1" applyFill="1" applyBorder="1" applyAlignment="1">
      <alignment horizontal="center"/>
    </xf>
    <xf numFmtId="0" fontId="3" fillId="2" borderId="40" xfId="0" applyFont="1" applyFill="1" applyBorder="1" applyAlignment="1">
      <alignment horizontal="center"/>
    </xf>
    <xf numFmtId="0" fontId="3" fillId="2" borderId="49" xfId="0" applyFont="1" applyFill="1" applyBorder="1" applyAlignment="1">
      <alignment horizontal="center"/>
    </xf>
    <xf numFmtId="0" fontId="3" fillId="2" borderId="0" xfId="0" applyFont="1" applyFill="1" applyBorder="1" applyAlignment="1">
      <alignment horizontal="center"/>
    </xf>
    <xf numFmtId="0" fontId="3" fillId="2" borderId="50" xfId="0" applyFont="1" applyFill="1" applyBorder="1" applyAlignment="1">
      <alignment horizontal="center"/>
    </xf>
    <xf numFmtId="49" fontId="3" fillId="3" borderId="34" xfId="0" applyNumberFormat="1" applyFont="1" applyFill="1" applyBorder="1" applyAlignment="1" applyProtection="1">
      <alignment horizontal="left" vertical="top" wrapText="1"/>
      <protection locked="0"/>
    </xf>
    <xf numFmtId="49" fontId="3" fillId="3" borderId="11" xfId="0" applyNumberFormat="1" applyFont="1" applyFill="1" applyBorder="1" applyAlignment="1" applyProtection="1">
      <alignment horizontal="left" vertical="top" wrapText="1"/>
      <protection locked="0"/>
    </xf>
    <xf numFmtId="49" fontId="3" fillId="3" borderId="23" xfId="0" applyNumberFormat="1" applyFont="1" applyFill="1" applyBorder="1" applyAlignment="1" applyProtection="1">
      <alignment horizontal="left" vertical="top" wrapText="1"/>
      <protection locked="0"/>
    </xf>
    <xf numFmtId="0" fontId="3" fillId="2" borderId="25" xfId="0" applyNumberFormat="1" applyFont="1" applyFill="1" applyBorder="1" applyAlignment="1">
      <alignment horizontal="center" vertical="center"/>
    </xf>
    <xf numFmtId="0" fontId="3" fillId="2" borderId="27" xfId="0" applyNumberFormat="1" applyFont="1" applyFill="1" applyBorder="1" applyAlignment="1">
      <alignment horizontal="center" vertical="center"/>
    </xf>
    <xf numFmtId="0" fontId="3" fillId="2" borderId="26" xfId="0" applyNumberFormat="1" applyFont="1" applyFill="1" applyBorder="1" applyAlignment="1">
      <alignment horizontal="center" vertical="center"/>
    </xf>
    <xf numFmtId="49" fontId="19" fillId="2" borderId="66" xfId="0" applyNumberFormat="1" applyFont="1" applyFill="1" applyBorder="1" applyAlignment="1" applyProtection="1">
      <alignment horizontal="center" vertical="center"/>
      <protection locked="0"/>
    </xf>
    <xf numFmtId="49" fontId="19" fillId="2" borderId="36" xfId="0" applyNumberFormat="1" applyFont="1" applyFill="1" applyBorder="1" applyAlignment="1" applyProtection="1">
      <alignment horizontal="center" vertical="center"/>
      <protection locked="0"/>
    </xf>
    <xf numFmtId="49" fontId="19" fillId="2" borderId="48" xfId="0" applyNumberFormat="1" applyFont="1" applyFill="1" applyBorder="1" applyAlignment="1" applyProtection="1">
      <alignment horizontal="center" vertical="center"/>
      <protection locked="0"/>
    </xf>
    <xf numFmtId="49" fontId="19" fillId="2" borderId="16" xfId="0" applyNumberFormat="1" applyFont="1" applyFill="1" applyBorder="1" applyAlignment="1" applyProtection="1">
      <alignment horizontal="center" vertical="center"/>
      <protection locked="0"/>
    </xf>
    <xf numFmtId="49" fontId="19" fillId="2" borderId="62" xfId="0" applyNumberFormat="1" applyFont="1" applyFill="1" applyBorder="1" applyAlignment="1" applyProtection="1">
      <alignment horizontal="center" vertical="center"/>
      <protection locked="0"/>
    </xf>
    <xf numFmtId="49" fontId="19" fillId="2" borderId="40" xfId="0" applyNumberFormat="1" applyFont="1" applyFill="1" applyBorder="1" applyAlignment="1" applyProtection="1">
      <alignment horizontal="center" vertical="center"/>
      <protection locked="0"/>
    </xf>
    <xf numFmtId="0" fontId="18" fillId="2" borderId="66" xfId="0" applyNumberFormat="1" applyFont="1" applyFill="1" applyBorder="1" applyAlignment="1" applyProtection="1">
      <alignment horizontal="center" vertical="center"/>
    </xf>
    <xf numFmtId="0" fontId="18" fillId="2" borderId="36" xfId="0" applyNumberFormat="1" applyFont="1" applyFill="1" applyBorder="1" applyAlignment="1" applyProtection="1">
      <alignment horizontal="center" vertical="center"/>
    </xf>
    <xf numFmtId="0" fontId="18" fillId="2" borderId="62" xfId="0" applyNumberFormat="1" applyFont="1" applyFill="1" applyBorder="1" applyAlignment="1" applyProtection="1">
      <alignment horizontal="center" vertical="center"/>
    </xf>
    <xf numFmtId="0" fontId="18" fillId="2" borderId="40" xfId="0" applyNumberFormat="1" applyFont="1" applyFill="1" applyBorder="1" applyAlignment="1" applyProtection="1">
      <alignment horizontal="center" vertical="center"/>
    </xf>
    <xf numFmtId="49" fontId="3" fillId="0" borderId="34" xfId="0" applyNumberFormat="1" applyFont="1" applyFill="1" applyBorder="1" applyAlignment="1" applyProtection="1">
      <alignment horizontal="left" vertical="top" wrapText="1"/>
      <protection locked="0"/>
    </xf>
    <xf numFmtId="49" fontId="3" fillId="0" borderId="11" xfId="0" applyNumberFormat="1" applyFont="1" applyFill="1" applyBorder="1" applyAlignment="1" applyProtection="1">
      <alignment horizontal="left" vertical="top" wrapText="1"/>
      <protection locked="0"/>
    </xf>
    <xf numFmtId="49" fontId="3" fillId="0" borderId="23" xfId="0" applyNumberFormat="1" applyFont="1" applyFill="1" applyBorder="1" applyAlignment="1" applyProtection="1">
      <alignment horizontal="left" vertical="top" wrapText="1"/>
      <protection locked="0"/>
    </xf>
    <xf numFmtId="0" fontId="15" fillId="8" borderId="0" xfId="0" applyFont="1" applyFill="1" applyAlignment="1">
      <alignment horizontal="left" vertical="top"/>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7" xfId="0" applyFont="1" applyFill="1" applyBorder="1" applyAlignment="1">
      <alignment horizontal="left" vertical="center"/>
    </xf>
    <xf numFmtId="0" fontId="20" fillId="14" borderId="31" xfId="0" applyFont="1" applyFill="1" applyBorder="1" applyAlignment="1">
      <alignment horizontal="left" vertical="top" wrapText="1"/>
    </xf>
    <xf numFmtId="0" fontId="20" fillId="14" borderId="22" xfId="0" applyFont="1" applyFill="1" applyBorder="1" applyAlignment="1">
      <alignment horizontal="left" vertical="top" wrapText="1"/>
    </xf>
    <xf numFmtId="0" fontId="20" fillId="14" borderId="24" xfId="0" applyFont="1" applyFill="1" applyBorder="1" applyAlignment="1">
      <alignment horizontal="left" vertical="top" wrapText="1"/>
    </xf>
    <xf numFmtId="0" fontId="1" fillId="2" borderId="3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40" xfId="0" applyFont="1" applyFill="1" applyBorder="1" applyAlignment="1">
      <alignment horizontal="center" vertical="center"/>
    </xf>
    <xf numFmtId="0" fontId="1" fillId="13" borderId="25" xfId="0" applyFont="1" applyFill="1" applyBorder="1" applyAlignment="1">
      <alignment horizontal="center"/>
    </xf>
    <xf numFmtId="0" fontId="1" fillId="13" borderId="27" xfId="0" applyFont="1" applyFill="1" applyBorder="1" applyAlignment="1">
      <alignment horizontal="center"/>
    </xf>
    <xf numFmtId="0" fontId="1" fillId="13" borderId="26" xfId="0" applyFont="1" applyFill="1" applyBorder="1" applyAlignment="1">
      <alignment horizontal="center"/>
    </xf>
  </cellXfs>
  <cellStyles count="3">
    <cellStyle name="Lien hypertexte" xfId="2" builtinId="8"/>
    <cellStyle name="Normal" xfId="0" builtinId="0"/>
    <cellStyle name="Standard 4" xfId="1" xr:uid="{00000000-0005-0000-0000-000002000000}"/>
  </cellStyles>
  <dxfs count="0"/>
  <tableStyles count="0" defaultTableStyle="TableStyleMedium2" defaultPivotStyle="PivotStyleLight16"/>
  <colors>
    <mruColors>
      <color rgb="FF5F2C09"/>
      <color rgb="FFFF7979"/>
      <color rgb="FFFFD5D5"/>
      <color rgb="FF9191B5"/>
      <color rgb="FFD4D4E2"/>
      <color rgb="FFCC0000"/>
      <color rgb="FF595985"/>
      <color rgb="FFFF5757"/>
      <color rgb="FFBD92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9">
    <tabColor theme="5"/>
  </sheetPr>
  <dimension ref="A1:E29"/>
  <sheetViews>
    <sheetView workbookViewId="0">
      <selection activeCell="F21" sqref="F21"/>
    </sheetView>
  </sheetViews>
  <sheetFormatPr baseColWidth="10" defaultRowHeight="14" x14ac:dyDescent="0.3"/>
  <cols>
    <col min="3" max="3" width="14.33203125" bestFit="1" customWidth="1"/>
  </cols>
  <sheetData>
    <row r="1" spans="1:5" x14ac:dyDescent="0.3">
      <c r="A1" s="122" t="s">
        <v>32</v>
      </c>
    </row>
    <row r="3" spans="1:5" x14ac:dyDescent="0.3">
      <c r="A3" s="124" t="s">
        <v>38</v>
      </c>
      <c r="C3" s="125" t="s">
        <v>39</v>
      </c>
      <c r="E3" s="125" t="s">
        <v>34</v>
      </c>
    </row>
    <row r="4" spans="1:5" x14ac:dyDescent="0.3">
      <c r="A4" s="179" t="s">
        <v>7</v>
      </c>
      <c r="C4" s="126" t="s">
        <v>35</v>
      </c>
      <c r="E4" s="180" t="s">
        <v>35</v>
      </c>
    </row>
    <row r="5" spans="1:5" x14ac:dyDescent="0.3">
      <c r="A5" s="123" t="s">
        <v>6</v>
      </c>
      <c r="C5" s="126" t="s">
        <v>146</v>
      </c>
      <c r="E5" s="126" t="s">
        <v>146</v>
      </c>
    </row>
    <row r="6" spans="1:5" x14ac:dyDescent="0.3">
      <c r="A6" s="123" t="s">
        <v>5</v>
      </c>
      <c r="C6" s="126" t="s">
        <v>147</v>
      </c>
      <c r="E6" s="126" t="s">
        <v>147</v>
      </c>
    </row>
    <row r="7" spans="1:5" x14ac:dyDescent="0.3">
      <c r="A7" s="123" t="s">
        <v>8</v>
      </c>
    </row>
    <row r="8" spans="1:5" x14ac:dyDescent="0.3">
      <c r="A8" s="123" t="s">
        <v>9</v>
      </c>
      <c r="C8" s="125" t="s">
        <v>33</v>
      </c>
      <c r="E8" s="125" t="s">
        <v>43</v>
      </c>
    </row>
    <row r="9" spans="1:5" x14ac:dyDescent="0.3">
      <c r="A9" s="123" t="s">
        <v>10</v>
      </c>
      <c r="C9" s="180" t="s">
        <v>35</v>
      </c>
      <c r="E9" s="180" t="s">
        <v>35</v>
      </c>
    </row>
    <row r="10" spans="1:5" x14ac:dyDescent="0.3">
      <c r="A10" s="123" t="s">
        <v>11</v>
      </c>
      <c r="C10" s="126" t="s">
        <v>146</v>
      </c>
      <c r="E10" s="284" t="s">
        <v>141</v>
      </c>
    </row>
    <row r="11" spans="1:5" x14ac:dyDescent="0.3">
      <c r="A11" s="123" t="s">
        <v>12</v>
      </c>
      <c r="C11" s="126" t="s">
        <v>147</v>
      </c>
      <c r="E11" s="283" t="s">
        <v>140</v>
      </c>
    </row>
    <row r="12" spans="1:5" x14ac:dyDescent="0.3">
      <c r="A12" s="123" t="s">
        <v>3</v>
      </c>
      <c r="C12" s="126" t="s">
        <v>148</v>
      </c>
      <c r="E12" s="282"/>
    </row>
    <row r="13" spans="1:5" x14ac:dyDescent="0.3">
      <c r="A13" s="123" t="s">
        <v>13</v>
      </c>
    </row>
    <row r="14" spans="1:5" x14ac:dyDescent="0.3">
      <c r="A14" s="123" t="s">
        <v>14</v>
      </c>
    </row>
    <row r="15" spans="1:5" x14ac:dyDescent="0.3">
      <c r="A15" s="123" t="s">
        <v>15</v>
      </c>
    </row>
    <row r="16" spans="1:5" x14ac:dyDescent="0.3">
      <c r="A16" s="123" t="s">
        <v>16</v>
      </c>
    </row>
    <row r="17" spans="1:1" x14ac:dyDescent="0.3">
      <c r="A17" s="123" t="s">
        <v>17</v>
      </c>
    </row>
    <row r="18" spans="1:1" x14ac:dyDescent="0.3">
      <c r="A18" s="123" t="s">
        <v>18</v>
      </c>
    </row>
    <row r="19" spans="1:1" x14ac:dyDescent="0.3">
      <c r="A19" s="123" t="s">
        <v>19</v>
      </c>
    </row>
    <row r="20" spans="1:1" x14ac:dyDescent="0.3">
      <c r="A20" s="123" t="s">
        <v>20</v>
      </c>
    </row>
    <row r="21" spans="1:1" x14ac:dyDescent="0.3">
      <c r="A21" s="123" t="s">
        <v>21</v>
      </c>
    </row>
    <row r="22" spans="1:1" x14ac:dyDescent="0.3">
      <c r="A22" s="123" t="s">
        <v>22</v>
      </c>
    </row>
    <row r="23" spans="1:1" x14ac:dyDescent="0.3">
      <c r="A23" s="123" t="s">
        <v>23</v>
      </c>
    </row>
    <row r="24" spans="1:1" x14ac:dyDescent="0.3">
      <c r="A24" s="123" t="s">
        <v>24</v>
      </c>
    </row>
    <row r="25" spans="1:1" x14ac:dyDescent="0.3">
      <c r="A25" s="123" t="s">
        <v>25</v>
      </c>
    </row>
    <row r="26" spans="1:1" x14ac:dyDescent="0.3">
      <c r="A26" s="123" t="s">
        <v>26</v>
      </c>
    </row>
    <row r="27" spans="1:1" x14ac:dyDescent="0.3">
      <c r="A27" s="123" t="s">
        <v>27</v>
      </c>
    </row>
    <row r="28" spans="1:1" x14ac:dyDescent="0.3">
      <c r="A28" s="123" t="s">
        <v>28</v>
      </c>
    </row>
    <row r="29" spans="1:1" x14ac:dyDescent="0.3">
      <c r="A29" s="123" t="s">
        <v>29</v>
      </c>
    </row>
  </sheetData>
  <customSheetViews>
    <customSheetView guid="{168849A9-FED9-4458-942F-290616B3A25C}" state="hidden">
      <selection activeCell="E17" sqref="E17:E18"/>
      <pageMargins left="0.7" right="0.7" top="0.78740157499999996" bottom="0.78740157499999996" header="0.3" footer="0.3"/>
      <pageSetup paperSize="9" orientation="portrait" horizontalDpi="90" verticalDpi="90" r:id="rId1"/>
    </customSheetView>
  </customSheetViews>
  <pageMargins left="0.7" right="0.7" top="0.78740157499999996" bottom="0.78740157499999996" header="0.3" footer="0.3"/>
  <pageSetup paperSize="9" orientation="portrait" horizontalDpi="90" verticalDpi="9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theme="3" tint="0.59999389629810485"/>
    <pageSetUpPr fitToPage="1"/>
  </sheetPr>
  <dimension ref="B1:K30"/>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40.83203125" style="13" customWidth="1"/>
    <col min="3" max="9" width="15.83203125" style="13" customWidth="1"/>
    <col min="10" max="10" width="2.58203125" style="13" customWidth="1"/>
    <col min="11" max="11" width="63.58203125" style="13" customWidth="1"/>
    <col min="12" max="12" width="2.08203125" style="13" customWidth="1"/>
    <col min="13" max="16384" width="11" style="13"/>
  </cols>
  <sheetData>
    <row r="1" spans="2:11" s="1" customFormat="1" ht="25" x14ac:dyDescent="0.5">
      <c r="B1" s="476" t="s">
        <v>191</v>
      </c>
      <c r="C1" s="476"/>
      <c r="D1" s="476"/>
      <c r="E1" s="476"/>
      <c r="F1" s="476"/>
      <c r="G1" s="476"/>
      <c r="H1" s="476"/>
      <c r="I1" s="476"/>
    </row>
    <row r="2" spans="2:11" s="1" customFormat="1" x14ac:dyDescent="0.3">
      <c r="B2" s="16"/>
      <c r="C2" s="16"/>
      <c r="D2" s="16"/>
      <c r="E2" s="16"/>
      <c r="F2" s="16"/>
      <c r="G2" s="16"/>
    </row>
    <row r="3" spans="2:11" s="1" customFormat="1" ht="28.5" customHeight="1" x14ac:dyDescent="0.3">
      <c r="B3" s="296" t="s">
        <v>44</v>
      </c>
      <c r="C3" s="446" t="str">
        <f>'Table des matières'!D4</f>
        <v>CH</v>
      </c>
      <c r="D3" s="446"/>
      <c r="E3" s="93"/>
      <c r="F3" s="93"/>
    </row>
    <row r="4" spans="2:11" s="1" customFormat="1" ht="28.5" customHeight="1" x14ac:dyDescent="0.3">
      <c r="B4" s="296" t="s">
        <v>65</v>
      </c>
      <c r="C4" s="445"/>
      <c r="D4" s="445"/>
      <c r="E4" s="93"/>
      <c r="F4" s="93"/>
      <c r="H4" s="94"/>
    </row>
    <row r="5" spans="2:11" ht="13" customHeight="1" thickBot="1" x14ac:dyDescent="0.35"/>
    <row r="6" spans="2:11" ht="45" customHeight="1" thickBot="1" x14ac:dyDescent="0.35">
      <c r="B6" s="447"/>
      <c r="C6" s="448"/>
      <c r="D6" s="448"/>
      <c r="E6" s="448"/>
      <c r="F6" s="448"/>
      <c r="G6" s="448"/>
      <c r="H6" s="448"/>
      <c r="I6" s="449"/>
      <c r="K6" s="67" t="s">
        <v>126</v>
      </c>
    </row>
    <row r="7" spans="2:11" s="16" customFormat="1" ht="45" customHeight="1" thickBot="1" x14ac:dyDescent="0.35">
      <c r="B7" s="166" t="s">
        <v>122</v>
      </c>
      <c r="C7" s="162" t="s">
        <v>0</v>
      </c>
      <c r="D7" s="163" t="s">
        <v>76</v>
      </c>
      <c r="E7" s="163" t="s">
        <v>77</v>
      </c>
      <c r="F7" s="163" t="s">
        <v>161</v>
      </c>
      <c r="G7" s="163" t="s">
        <v>78</v>
      </c>
      <c r="H7" s="164" t="s">
        <v>123</v>
      </c>
      <c r="I7" s="165" t="s">
        <v>124</v>
      </c>
      <c r="J7" s="121"/>
      <c r="K7" s="450"/>
    </row>
    <row r="8" spans="2:11" ht="60" customHeight="1" thickBot="1" x14ac:dyDescent="0.35">
      <c r="B8" s="293" t="s">
        <v>137</v>
      </c>
      <c r="C8" s="96">
        <f>SUM(D8:E8,G8)</f>
        <v>0</v>
      </c>
      <c r="D8" s="97"/>
      <c r="E8" s="98"/>
      <c r="F8" s="98"/>
      <c r="G8" s="98"/>
      <c r="H8" s="119"/>
      <c r="I8" s="99"/>
      <c r="K8" s="451"/>
    </row>
    <row r="9" spans="2:11" ht="43.5" customHeight="1" thickBot="1" x14ac:dyDescent="0.35">
      <c r="B9" s="254" t="s">
        <v>229</v>
      </c>
      <c r="C9" s="252">
        <f>SUM(D9:E9,G9)</f>
        <v>4906</v>
      </c>
      <c r="D9" s="250">
        <f>VLOOKUP($C$3,bestand_ias,3,FALSE)</f>
        <v>2346</v>
      </c>
      <c r="E9" s="247">
        <f>VLOOKUP($C$3,bestand_ias,4,FALSE)</f>
        <v>2560</v>
      </c>
      <c r="F9" s="247">
        <f>VLOOKUP($C$3,bestand_ias,5,FALSE)</f>
        <v>44464</v>
      </c>
      <c r="G9" s="247" t="s">
        <v>36</v>
      </c>
      <c r="H9" s="247">
        <f>VLOOKUP($C$3,bestand_ias,6,FALSE)</f>
        <v>1594</v>
      </c>
      <c r="I9" s="248">
        <f>VLOOKUP($C$3,bestand_ias,7,FALSE)</f>
        <v>3312</v>
      </c>
      <c r="K9" s="451"/>
    </row>
    <row r="10" spans="2:11" ht="14.15" customHeight="1" x14ac:dyDescent="0.3">
      <c r="B10" s="13" t="s">
        <v>246</v>
      </c>
      <c r="K10" s="451"/>
    </row>
    <row r="11" spans="2:11" ht="14.15" customHeight="1" thickBot="1" x14ac:dyDescent="0.35">
      <c r="K11" s="451"/>
    </row>
    <row r="12" spans="2:11" ht="45" customHeight="1" thickBot="1" x14ac:dyDescent="0.35">
      <c r="B12" s="453" t="s">
        <v>125</v>
      </c>
      <c r="C12" s="454"/>
      <c r="D12" s="454"/>
      <c r="E12" s="454"/>
      <c r="F12" s="454"/>
      <c r="G12" s="454"/>
      <c r="H12" s="454"/>
      <c r="I12" s="455"/>
      <c r="J12" s="14"/>
      <c r="K12" s="451"/>
    </row>
    <row r="13" spans="2:11" ht="33" customHeight="1" x14ac:dyDescent="0.3">
      <c r="B13" s="18" t="s">
        <v>127</v>
      </c>
      <c r="C13" s="456" t="s">
        <v>137</v>
      </c>
      <c r="D13" s="456"/>
      <c r="E13" s="456"/>
      <c r="F13" s="456"/>
      <c r="G13" s="456"/>
      <c r="H13" s="456"/>
      <c r="I13" s="457"/>
      <c r="J13" s="12"/>
      <c r="K13" s="451"/>
    </row>
    <row r="14" spans="2:11" ht="43.5" customHeight="1" x14ac:dyDescent="0.3">
      <c r="B14" s="19" t="s">
        <v>69</v>
      </c>
      <c r="C14" s="458" t="s">
        <v>194</v>
      </c>
      <c r="D14" s="458"/>
      <c r="E14" s="458"/>
      <c r="F14" s="458"/>
      <c r="G14" s="458"/>
      <c r="H14" s="458"/>
      <c r="I14" s="459"/>
      <c r="J14" s="12"/>
      <c r="K14" s="451"/>
    </row>
    <row r="15" spans="2:11" ht="73" customHeight="1" thickBot="1" x14ac:dyDescent="0.35">
      <c r="B15" s="20" t="s">
        <v>128</v>
      </c>
      <c r="C15" s="460" t="s">
        <v>226</v>
      </c>
      <c r="D15" s="460"/>
      <c r="E15" s="460"/>
      <c r="F15" s="460"/>
      <c r="G15" s="460"/>
      <c r="H15" s="460"/>
      <c r="I15" s="461"/>
      <c r="J15" s="12"/>
      <c r="K15" s="452"/>
    </row>
    <row r="16" spans="2:11" ht="14.15" customHeight="1" x14ac:dyDescent="0.3"/>
    <row r="17" spans="3:3" ht="14.15" customHeight="1" x14ac:dyDescent="0.3"/>
    <row r="18" spans="3:3" ht="14.15" customHeight="1" x14ac:dyDescent="0.3"/>
    <row r="19" spans="3:3" ht="14.15" customHeight="1" x14ac:dyDescent="0.3">
      <c r="C19" s="17"/>
    </row>
    <row r="20" spans="3:3" ht="14.15" customHeight="1" x14ac:dyDescent="0.3"/>
    <row r="21" spans="3:3" ht="14.15" customHeight="1" x14ac:dyDescent="0.3"/>
    <row r="22" spans="3:3" ht="14.15" customHeight="1" x14ac:dyDescent="0.3"/>
    <row r="23" spans="3:3" ht="14.15" customHeight="1" x14ac:dyDescent="0.3"/>
    <row r="24" spans="3:3" ht="14.15" customHeight="1" x14ac:dyDescent="0.3"/>
    <row r="25" spans="3:3" ht="14.15" customHeight="1" x14ac:dyDescent="0.3"/>
    <row r="26" spans="3:3" ht="14.15" customHeight="1" x14ac:dyDescent="0.3"/>
    <row r="27" spans="3:3" ht="14.15" customHeight="1" x14ac:dyDescent="0.3"/>
    <row r="28" spans="3:3" ht="14.15" customHeight="1" x14ac:dyDescent="0.3"/>
    <row r="29" spans="3:3" ht="14.15" customHeight="1" x14ac:dyDescent="0.3"/>
    <row r="30" spans="3:3" ht="14.15" customHeight="1" x14ac:dyDescent="0.3"/>
  </sheetData>
  <sheetProtection algorithmName="SHA-512" hashValue="IH4vQjSYKdKGpvZyoyI/tCTdDNzmqwxDtm6MiwI77IjRcpmhnyp7FUs0s1ciBoy40dPagGzlvi7XxzcOQ9MUig==" saltValue="eQmaN/kDlWwMUylbCOPATw==" spinCount="100000" sheet="1" selectLockedCells="1"/>
  <protectedRanges>
    <protectedRange password="CAA2" sqref="C8:C9" name="Summe"/>
  </protectedRanges>
  <customSheetViews>
    <customSheetView guid="{168849A9-FED9-4458-942F-290616B3A25C}" scale="85" showPageBreaks="1" showGridLines="0" fitToPage="1" printArea="1" topLeftCell="A7">
      <selection activeCell="B1" sqref="B1:H1"/>
      <pageMargins left="0.70866141732283472" right="0.70866141732283472" top="1.1811023622047245" bottom="0.78740157480314965" header="0.31496062992125984" footer="0.31496062992125984"/>
      <pageSetup paperSize="8" scale="87" fitToHeight="0" orientation="landscape" cellComments="atEnd" r:id="rId1"/>
      <headerFooter>
        <oddHeader>&amp;LKennzahlenraster KIP / IAS&amp;R&amp;G</oddHeader>
        <oddFooter>&amp;L&amp;A: Eröffnete Dossiers&amp;R&amp;P</oddFooter>
      </headerFooter>
    </customSheetView>
  </customSheetViews>
  <mergeCells count="9">
    <mergeCell ref="B1:I1"/>
    <mergeCell ref="C3:D3"/>
    <mergeCell ref="C4:D4"/>
    <mergeCell ref="B6:I6"/>
    <mergeCell ref="K7:K15"/>
    <mergeCell ref="B12:I12"/>
    <mergeCell ref="C13:I13"/>
    <mergeCell ref="C14:I14"/>
    <mergeCell ref="C15:I15"/>
  </mergeCells>
  <dataValidations count="3">
    <dataValidation type="whole" operator="greaterThanOrEqual" allowBlank="1" showErrorMessage="1" errorTitle="Fehler" error="Gültig sind nur positive, ganze Zahlen (0, 200, etc.). Kein Text" promptTitle="Ganze Zahlen" prompt="Nur ganzzahlige Werte (0, 1, 200 etc.)" sqref="D8:I8" xr:uid="{00000000-0002-0000-0900-000000000000}">
      <formula1>0</formula1>
    </dataValidation>
    <dataValidation type="date" allowBlank="1" showInputMessage="1" showErrorMessage="1" error="Veuillez saisir une date de saisie comprise entre le 01.01.2023 et le 31.12.2023." promptTitle="Date de la saisie" prompt="Veuillez saisir la date de la saisie des données" sqref="C4:D4" xr:uid="{00000000-0002-0000-0900-000001000000}">
      <formula1>44927</formula1>
      <formula2>45291</formula2>
    </dataValidation>
    <dataValidation allowBlank="1" sqref="C9:I9" xr:uid="{00000000-0002-0000-0900-000002000000}"/>
  </dataValidations>
  <pageMargins left="0.70866141732283472" right="0.70866141732283472" top="1.1811023622047245" bottom="0.78740157480314965" header="0.31496062992125984" footer="0.31496062992125984"/>
  <pageSetup paperSize="8" scale="87" fitToHeight="0" orientation="landscape" cellComments="atEnd" r:id="rId2"/>
  <headerFooter>
    <oddFooter>&amp;L&amp;A: Eröffnete Dossiers&amp;R&amp;P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tabColor theme="3" tint="0.59999389629810485"/>
    <pageSetUpPr fitToPage="1"/>
  </sheetPr>
  <dimension ref="B1:P20"/>
  <sheetViews>
    <sheetView showGridLines="0" zoomScale="75" zoomScaleNormal="75" workbookViewId="0">
      <selection activeCell="M7" sqref="M7:M16"/>
    </sheetView>
  </sheetViews>
  <sheetFormatPr baseColWidth="10" defaultColWidth="11" defaultRowHeight="14" x14ac:dyDescent="0.3"/>
  <cols>
    <col min="1" max="1" width="2.08203125" style="13" customWidth="1"/>
    <col min="2" max="2" width="40.58203125" style="13" customWidth="1"/>
    <col min="3" max="11" width="15.83203125" style="13" customWidth="1"/>
    <col min="12" max="12" width="2.08203125" style="13" customWidth="1"/>
    <col min="13" max="13" width="63.58203125" style="13" customWidth="1"/>
    <col min="14" max="14" width="2.08203125" style="13" customWidth="1"/>
    <col min="15" max="16384" width="11" style="13"/>
  </cols>
  <sheetData>
    <row r="1" spans="2:16" s="1" customFormat="1" ht="23" x14ac:dyDescent="0.5">
      <c r="B1" s="485" t="s">
        <v>192</v>
      </c>
      <c r="C1" s="485"/>
      <c r="D1" s="485"/>
      <c r="E1" s="485"/>
      <c r="F1" s="485"/>
      <c r="G1" s="485"/>
      <c r="H1" s="485"/>
      <c r="I1" s="485"/>
      <c r="J1" s="485"/>
      <c r="K1" s="485"/>
    </row>
    <row r="2" spans="2:16" s="1" customFormat="1" x14ac:dyDescent="0.3">
      <c r="B2" s="16"/>
      <c r="C2" s="16"/>
      <c r="D2" s="16"/>
      <c r="E2" s="16"/>
      <c r="F2" s="16"/>
      <c r="G2" s="16"/>
    </row>
    <row r="3" spans="2:16" s="1" customFormat="1" ht="28.5" customHeight="1" x14ac:dyDescent="0.3">
      <c r="B3" s="296" t="s">
        <v>44</v>
      </c>
      <c r="C3" s="446" t="str">
        <f>'Table des matières'!D4</f>
        <v>CH</v>
      </c>
      <c r="D3" s="446"/>
      <c r="E3" s="93"/>
      <c r="F3" s="93"/>
      <c r="O3" s="270" t="s">
        <v>35</v>
      </c>
      <c r="P3" s="270"/>
    </row>
    <row r="4" spans="2:16" s="1" customFormat="1" ht="28.5" customHeight="1" x14ac:dyDescent="0.3">
      <c r="B4" s="296" t="s">
        <v>65</v>
      </c>
      <c r="C4" s="445"/>
      <c r="D4" s="445"/>
      <c r="E4" s="93"/>
      <c r="F4" s="93"/>
      <c r="H4" s="94"/>
      <c r="O4" s="270" t="s">
        <v>42</v>
      </c>
      <c r="P4" s="270"/>
    </row>
    <row r="5" spans="2:16" ht="14.15" customHeight="1" thickBot="1" x14ac:dyDescent="0.35">
      <c r="O5" s="270" t="s">
        <v>41</v>
      </c>
      <c r="P5" s="270"/>
    </row>
    <row r="6" spans="2:16" ht="45" customHeight="1" thickBot="1" x14ac:dyDescent="0.35">
      <c r="B6" s="447"/>
      <c r="C6" s="448"/>
      <c r="D6" s="448"/>
      <c r="E6" s="448"/>
      <c r="F6" s="448"/>
      <c r="G6" s="448"/>
      <c r="H6" s="448"/>
      <c r="I6" s="449"/>
      <c r="J6" s="431" t="s">
        <v>138</v>
      </c>
      <c r="K6" s="432"/>
      <c r="M6" s="67" t="s">
        <v>126</v>
      </c>
      <c r="O6" s="270"/>
      <c r="P6" s="270"/>
    </row>
    <row r="7" spans="2:16" s="16" customFormat="1" ht="45" customHeight="1" thickBot="1" x14ac:dyDescent="0.35">
      <c r="B7" s="176" t="s">
        <v>122</v>
      </c>
      <c r="C7" s="156" t="s">
        <v>0</v>
      </c>
      <c r="D7" s="157" t="s">
        <v>76</v>
      </c>
      <c r="E7" s="157" t="s">
        <v>77</v>
      </c>
      <c r="F7" s="157" t="s">
        <v>161</v>
      </c>
      <c r="G7" s="157" t="s">
        <v>78</v>
      </c>
      <c r="H7" s="158" t="s">
        <v>123</v>
      </c>
      <c r="I7" s="159" t="s">
        <v>124</v>
      </c>
      <c r="J7" s="299" t="s">
        <v>83</v>
      </c>
      <c r="K7" s="300" t="s">
        <v>197</v>
      </c>
      <c r="M7" s="450"/>
    </row>
    <row r="8" spans="2:16" ht="60" customHeight="1" thickBot="1" x14ac:dyDescent="0.35">
      <c r="B8" s="146" t="s">
        <v>210</v>
      </c>
      <c r="C8" s="100">
        <f>SUM(D8:E8,G8)</f>
        <v>0</v>
      </c>
      <c r="D8" s="147"/>
      <c r="E8" s="148"/>
      <c r="F8" s="148"/>
      <c r="G8" s="148"/>
      <c r="H8" s="148"/>
      <c r="I8" s="149"/>
      <c r="J8" s="153" t="s">
        <v>35</v>
      </c>
      <c r="K8" s="155" t="s">
        <v>35</v>
      </c>
      <c r="M8" s="451"/>
    </row>
    <row r="9" spans="2:16" ht="43.5" customHeight="1" x14ac:dyDescent="0.3">
      <c r="B9" s="340" t="s">
        <v>231</v>
      </c>
      <c r="C9" s="238">
        <f>SUM(D9:E9,G9)</f>
        <v>17184</v>
      </c>
      <c r="D9" s="315">
        <f>VLOOKUP($C$3,bestand_ias,8,FALSE)</f>
        <v>9928</v>
      </c>
      <c r="E9" s="315">
        <f>VLOOKUP($C$3,bestand_ias,9,FALSE)</f>
        <v>7256</v>
      </c>
      <c r="F9" s="315">
        <f>VLOOKUP($C$3,bestand_ias,10,FALSE)</f>
        <v>44461</v>
      </c>
      <c r="G9" s="315" t="s">
        <v>37</v>
      </c>
      <c r="H9" s="315">
        <f>VLOOKUP($C$3,bestand_ias,11,FALSE)</f>
        <v>6969</v>
      </c>
      <c r="I9" s="316">
        <f>VLOOKUP($C$3,bestand_ias,12,FALSE)</f>
        <v>10215</v>
      </c>
      <c r="J9" s="265"/>
      <c r="K9" s="312"/>
      <c r="M9" s="451"/>
    </row>
    <row r="10" spans="2:16" ht="43.5" customHeight="1" thickBot="1" x14ac:dyDescent="0.35">
      <c r="B10" s="231" t="s">
        <v>232</v>
      </c>
      <c r="C10" s="232">
        <f>SUM(D10:E10,G10)</f>
        <v>24208</v>
      </c>
      <c r="D10" s="320">
        <f>VLOOKUP($C$3,bestand_alle,3,FALSE)</f>
        <v>14479</v>
      </c>
      <c r="E10" s="321">
        <f>VLOOKUP($C$3,bestand_alle,4,FALSE)</f>
        <v>9729</v>
      </c>
      <c r="F10" s="321">
        <f>VLOOKUP($C$3,bestand_alle,5,FALSE)</f>
        <v>44461</v>
      </c>
      <c r="G10" s="321" t="s">
        <v>37</v>
      </c>
      <c r="H10" s="321">
        <f>VLOOKUP($C$3,bestand_alle,6,FALSE)</f>
        <v>10619</v>
      </c>
      <c r="I10" s="322">
        <f>VLOOKUP($C$3,bestand_alle,7,FALSE)</f>
        <v>13589</v>
      </c>
      <c r="J10" s="266"/>
      <c r="K10" s="313"/>
      <c r="M10" s="451"/>
    </row>
    <row r="11" spans="2:16" x14ac:dyDescent="0.3">
      <c r="B11" s="13" t="s">
        <v>246</v>
      </c>
      <c r="M11" s="451"/>
    </row>
    <row r="12" spans="2:16" ht="14.5" thickBot="1" x14ac:dyDescent="0.35">
      <c r="J12" s="12"/>
      <c r="K12" s="12"/>
      <c r="M12" s="451"/>
    </row>
    <row r="13" spans="2:16" ht="45" customHeight="1" thickBot="1" x14ac:dyDescent="0.35">
      <c r="B13" s="486" t="s">
        <v>125</v>
      </c>
      <c r="C13" s="487"/>
      <c r="D13" s="487"/>
      <c r="E13" s="487"/>
      <c r="F13" s="487"/>
      <c r="G13" s="487"/>
      <c r="H13" s="487"/>
      <c r="I13" s="487"/>
      <c r="J13" s="487"/>
      <c r="K13" s="488"/>
      <c r="M13" s="451"/>
    </row>
    <row r="14" spans="2:16" ht="37.5" customHeight="1" thickBot="1" x14ac:dyDescent="0.35">
      <c r="B14" s="171" t="s">
        <v>127</v>
      </c>
      <c r="C14" s="489" t="s">
        <v>193</v>
      </c>
      <c r="D14" s="490"/>
      <c r="E14" s="490"/>
      <c r="F14" s="490"/>
      <c r="G14" s="490"/>
      <c r="H14" s="490"/>
      <c r="I14" s="490"/>
      <c r="J14" s="490"/>
      <c r="K14" s="491"/>
      <c r="M14" s="451"/>
    </row>
    <row r="15" spans="2:16" ht="107.5" customHeight="1" thickBot="1" x14ac:dyDescent="0.35">
      <c r="B15" s="172" t="s">
        <v>69</v>
      </c>
      <c r="C15" s="489" t="s">
        <v>230</v>
      </c>
      <c r="D15" s="490"/>
      <c r="E15" s="490"/>
      <c r="F15" s="490"/>
      <c r="G15" s="490"/>
      <c r="H15" s="490"/>
      <c r="I15" s="490"/>
      <c r="J15" s="490"/>
      <c r="K15" s="491"/>
      <c r="M15" s="451"/>
    </row>
    <row r="16" spans="2:16" ht="50.5" customHeight="1" thickBot="1" x14ac:dyDescent="0.35">
      <c r="B16" s="173" t="s">
        <v>128</v>
      </c>
      <c r="C16" s="489" t="s">
        <v>175</v>
      </c>
      <c r="D16" s="490"/>
      <c r="E16" s="490"/>
      <c r="F16" s="490"/>
      <c r="G16" s="490"/>
      <c r="H16" s="490"/>
      <c r="I16" s="490"/>
      <c r="J16" s="490"/>
      <c r="K16" s="491"/>
      <c r="M16" s="452"/>
    </row>
    <row r="17" spans="3:3" ht="36.75" customHeight="1" x14ac:dyDescent="0.3"/>
    <row r="20" spans="3:3" x14ac:dyDescent="0.3">
      <c r="C20" s="17"/>
    </row>
  </sheetData>
  <sheetProtection algorithmName="SHA-512" hashValue="AyRS+3iy4GIIm+9fypqCgO9ZzYBvlk+RTp3D8dtaWjvEIfNmvueSEPBGdzXRUd59SihFN24bTS+AhXAZNDYQlQ==" saltValue="g3FjMTkTa+i47CbUOJVwQA==" spinCount="100000" sheet="1" selectLockedCells="1"/>
  <protectedRanges>
    <protectedRange password="CAA2" sqref="C8" name="Summe"/>
    <protectedRange password="CAA2" sqref="C9:C10" name="Summe_1"/>
  </protectedRanges>
  <customSheetViews>
    <customSheetView guid="{168849A9-FED9-4458-942F-290616B3A25C}" scale="85" showPageBreaks="1" showGridLines="0" fitToPage="1" printArea="1">
      <selection activeCell="N4" sqref="N4:N5"/>
      <pageMargins left="0.70866141732283472" right="0.70866141732283472" top="1.1811023622047245" bottom="0.78740157480314965" header="0.31496062992125984" footer="0.31496062992125984"/>
      <pageSetup paperSize="8" scale="71" fitToHeight="0" orientation="landscape" cellComments="atEnd" r:id="rId1"/>
      <headerFooter>
        <oddHeader>&amp;LKennzahlenraster KIP / IAS&amp;R&amp;G</oddHeader>
        <oddFooter>&amp;L&amp;A: Sprachförderung Erwachsene&amp;R&amp;P</oddFooter>
      </headerFooter>
    </customSheetView>
  </customSheetViews>
  <mergeCells count="10">
    <mergeCell ref="B1:K1"/>
    <mergeCell ref="M7:M16"/>
    <mergeCell ref="B6:I6"/>
    <mergeCell ref="J6:K6"/>
    <mergeCell ref="C3:D3"/>
    <mergeCell ref="C4:D4"/>
    <mergeCell ref="B13:K13"/>
    <mergeCell ref="C14:K14"/>
    <mergeCell ref="C15:K15"/>
    <mergeCell ref="C16:K16"/>
  </mergeCells>
  <dataValidations count="4">
    <dataValidation type="whole" operator="greaterThanOrEqual" allowBlank="1" showErrorMessage="1" errorTitle="Fehler" error="Gültig sind nur positive, ganze Zahlen (0, 200, etc.). Kein Text" promptTitle="Ganze Zahlen" prompt="Nur ganzzahlige Werte (0, 1, 200 etc.)" sqref="D8:I8" xr:uid="{00000000-0002-0000-0A00-000000000000}">
      <formula1>0</formula1>
    </dataValidation>
    <dataValidation type="date" allowBlank="1" showInputMessage="1" showErrorMessage="1" error="Veuillez saisir une date de saisie comprise entre le 01.01.2023 et le 31.12.2023." promptTitle="Date de la saisie" prompt="Veuillez saisir la date de la saisie des données" sqref="C4:D4" xr:uid="{00000000-0002-0000-0A00-000001000000}">
      <formula1>44927</formula1>
      <formula2>45291</formula2>
    </dataValidation>
    <dataValidation allowBlank="1" sqref="C9:I10" xr:uid="{7E013C6E-7B2A-42A0-B5B9-DB9D40439D3E}"/>
    <dataValidation type="list" allowBlank="1" showInputMessage="1" showErrorMessage="1" sqref="O4:O5 L8:L10" xr:uid="{00000000-0002-0000-0A00-000003000000}">
      <formula1>$O$4:$O$5</formula1>
    </dataValidation>
  </dataValidations>
  <pageMargins left="0.70866141732283472" right="0.70866141732283472" top="1.1811023622047245" bottom="0.78740157480314965" header="0.31496062992125984" footer="0.31496062992125984"/>
  <pageSetup paperSize="8" scale="63" fitToHeight="0" orientation="landscape" cellComments="atEnd" r:id="rId2"/>
  <headerFooter>
    <oddHeader>&amp;LKennzahlenraster KIP / IAS&amp;R&amp;G</oddHeader>
    <oddFooter>&amp;L&amp;A: Sprachförderung Erwachsene&amp;R&amp;P</oddFooter>
  </headerFooter>
  <legacyDrawingHF r:id="rId3"/>
  <extLst>
    <ext xmlns:x14="http://schemas.microsoft.com/office/spreadsheetml/2009/9/main" uri="{CCE6A557-97BC-4b89-ADB6-D9C93CAAB3DF}">
      <x14:dataValidations xmlns:xm="http://schemas.microsoft.com/office/excel/2006/main" count="2">
        <x14:dataValidation type="list" operator="greaterThanOrEqual" allowBlank="1" errorTitle="Fehler" error="Gültig sind nur positive, ganze Zahlen (0, 200, etc.). Kein Text" promptTitle="Ganze Zahlen" prompt="Nur ganzzahlige Werte (0, 1, 200 etc.)" xr:uid="{00000000-0002-0000-0A00-000005000000}">
          <x14:formula1>
            <xm:f>Dropdownlisten!$E$4:$E$6</xm:f>
          </x14:formula1>
          <xm:sqref>K8</xm:sqref>
        </x14:dataValidation>
        <x14:dataValidation type="list" operator="greaterThanOrEqual" allowBlank="1" xr:uid="{00000000-0002-0000-0A00-000006000000}">
          <x14:formula1>
            <xm:f>Dropdownlisten!$C$4:$C$6</xm:f>
          </x14:formula1>
          <xm:sqref>J8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theme="3" tint="0.59999389629810485"/>
    <pageSetUpPr fitToPage="1"/>
  </sheetPr>
  <dimension ref="B1:R69"/>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40.33203125" style="13" customWidth="1"/>
    <col min="3" max="10" width="15.83203125" style="13" customWidth="1"/>
    <col min="11" max="13" width="13.58203125" style="13" customWidth="1"/>
    <col min="14" max="14" width="2.58203125" style="13" customWidth="1"/>
    <col min="15" max="15" width="63.58203125" style="13" customWidth="1"/>
    <col min="16" max="16" width="2.08203125" style="13" customWidth="1"/>
    <col min="17" max="16384" width="11" style="13"/>
  </cols>
  <sheetData>
    <row r="1" spans="2:18" s="1" customFormat="1" ht="28" x14ac:dyDescent="0.6">
      <c r="B1" s="444" t="s">
        <v>143</v>
      </c>
      <c r="C1" s="444"/>
      <c r="D1" s="444"/>
      <c r="E1" s="444"/>
      <c r="F1" s="444"/>
      <c r="G1" s="444"/>
      <c r="H1" s="444"/>
      <c r="I1" s="444"/>
      <c r="J1" s="444"/>
      <c r="K1" s="444"/>
      <c r="L1" s="444"/>
      <c r="M1" s="444"/>
    </row>
    <row r="2" spans="2:18" s="1" customFormat="1" x14ac:dyDescent="0.3">
      <c r="B2" s="16"/>
      <c r="C2" s="16"/>
      <c r="D2" s="16"/>
      <c r="E2" s="16"/>
      <c r="F2" s="16"/>
    </row>
    <row r="3" spans="2:18" s="1" customFormat="1" ht="28.5" customHeight="1" x14ac:dyDescent="0.3">
      <c r="B3" s="296" t="s">
        <v>44</v>
      </c>
      <c r="C3" s="446" t="str">
        <f>'Table des matières'!D4</f>
        <v>CH</v>
      </c>
      <c r="D3" s="446"/>
      <c r="E3" s="93"/>
    </row>
    <row r="4" spans="2:18" s="1" customFormat="1" ht="28.5" customHeight="1" x14ac:dyDescent="0.3">
      <c r="B4" s="296" t="s">
        <v>65</v>
      </c>
      <c r="C4" s="445"/>
      <c r="D4" s="445"/>
      <c r="E4" s="93"/>
      <c r="G4" s="94"/>
    </row>
    <row r="5" spans="2:18" ht="14.15" customHeight="1" thickBot="1" x14ac:dyDescent="0.35">
      <c r="O5" s="1"/>
    </row>
    <row r="6" spans="2:18" ht="45" customHeight="1" thickBot="1" x14ac:dyDescent="0.35">
      <c r="B6" s="447"/>
      <c r="C6" s="448"/>
      <c r="D6" s="448"/>
      <c r="E6" s="448"/>
      <c r="F6" s="448"/>
      <c r="G6" s="448"/>
      <c r="H6" s="449"/>
      <c r="I6" s="431" t="s">
        <v>138</v>
      </c>
      <c r="J6" s="501"/>
      <c r="K6" s="431" t="s">
        <v>149</v>
      </c>
      <c r="L6" s="501"/>
      <c r="M6" s="432"/>
      <c r="O6" s="67" t="s">
        <v>126</v>
      </c>
      <c r="P6" s="16"/>
      <c r="Q6" s="16"/>
      <c r="R6" s="16"/>
    </row>
    <row r="7" spans="2:18" s="16" customFormat="1" ht="66" customHeight="1" thickBot="1" x14ac:dyDescent="0.35">
      <c r="B7" s="166" t="s">
        <v>122</v>
      </c>
      <c r="C7" s="162" t="s">
        <v>0</v>
      </c>
      <c r="D7" s="163" t="s">
        <v>76</v>
      </c>
      <c r="E7" s="163" t="s">
        <v>77</v>
      </c>
      <c r="F7" s="163" t="s">
        <v>78</v>
      </c>
      <c r="G7" s="164" t="s">
        <v>123</v>
      </c>
      <c r="H7" s="165" t="s">
        <v>124</v>
      </c>
      <c r="I7" s="343" t="s">
        <v>83</v>
      </c>
      <c r="J7" s="344" t="s">
        <v>197</v>
      </c>
      <c r="K7" s="301" t="s">
        <v>144</v>
      </c>
      <c r="L7" s="302" t="s">
        <v>198</v>
      </c>
      <c r="M7" s="303" t="s">
        <v>145</v>
      </c>
      <c r="N7" s="13"/>
      <c r="O7" s="492"/>
    </row>
    <row r="8" spans="2:18" ht="60" customHeight="1" thickBot="1" x14ac:dyDescent="0.35">
      <c r="B8" s="468" t="s">
        <v>113</v>
      </c>
      <c r="C8" s="118">
        <f>SUM(D8:E8,F8)</f>
        <v>0</v>
      </c>
      <c r="D8" s="143"/>
      <c r="E8" s="144"/>
      <c r="F8" s="144"/>
      <c r="G8" s="144"/>
      <c r="H8" s="150"/>
      <c r="I8" s="129" t="s">
        <v>35</v>
      </c>
      <c r="J8" s="130" t="s">
        <v>35</v>
      </c>
      <c r="K8" s="153" t="s">
        <v>35</v>
      </c>
      <c r="L8" s="154" t="s">
        <v>35</v>
      </c>
      <c r="M8" s="131" t="s">
        <v>35</v>
      </c>
      <c r="O8" s="493"/>
      <c r="P8" s="16"/>
      <c r="Q8" s="16"/>
      <c r="R8" s="16"/>
    </row>
    <row r="9" spans="2:18" ht="30" customHeight="1" thickBot="1" x14ac:dyDescent="0.35">
      <c r="B9" s="469"/>
      <c r="C9" s="498"/>
      <c r="D9" s="499"/>
      <c r="E9" s="499"/>
      <c r="F9" s="499"/>
      <c r="G9" s="499"/>
      <c r="H9" s="500"/>
      <c r="I9" s="502"/>
      <c r="J9" s="503"/>
      <c r="K9" s="502"/>
      <c r="L9" s="508"/>
      <c r="M9" s="503"/>
      <c r="O9" s="493"/>
      <c r="P9" s="16"/>
      <c r="Q9" s="16"/>
      <c r="R9" s="16"/>
    </row>
    <row r="10" spans="2:18" ht="43.5" customHeight="1" x14ac:dyDescent="0.3">
      <c r="B10" s="237" t="s">
        <v>231</v>
      </c>
      <c r="C10" s="238">
        <f>SUM(D10:E10,F10)</f>
        <v>2949</v>
      </c>
      <c r="D10" s="315">
        <f>VLOOKUP($C$3,bestand_ias,13,FALSE)</f>
        <v>1990</v>
      </c>
      <c r="E10" s="315">
        <f>VLOOKUP($C$3,bestand_ias,14,FALSE)</f>
        <v>959</v>
      </c>
      <c r="F10" s="315" t="s">
        <v>37</v>
      </c>
      <c r="G10" s="315">
        <f>VLOOKUP($C$3,bestand_ias,16,FALSE)</f>
        <v>1438</v>
      </c>
      <c r="H10" s="316">
        <f>VLOOKUP($C$3,bestand_ias,17,FALSE)</f>
        <v>1511</v>
      </c>
      <c r="I10" s="504"/>
      <c r="J10" s="505"/>
      <c r="K10" s="504"/>
      <c r="L10" s="509"/>
      <c r="M10" s="505"/>
      <c r="O10" s="493"/>
      <c r="P10" s="16"/>
      <c r="Q10" s="16"/>
      <c r="R10" s="16"/>
    </row>
    <row r="11" spans="2:18" ht="43.5" customHeight="1" thickBot="1" x14ac:dyDescent="0.35">
      <c r="B11" s="233" t="s">
        <v>234</v>
      </c>
      <c r="C11" s="234">
        <f>SUM(D11:E11,F11)</f>
        <v>3323</v>
      </c>
      <c r="D11" s="317">
        <f>VLOOKUP($C$3,bestand_alle,8,FALSE)</f>
        <v>2297</v>
      </c>
      <c r="E11" s="318">
        <f>VLOOKUP($C$3,bestand_alle,9,FALSE)</f>
        <v>1026</v>
      </c>
      <c r="F11" s="318" t="s">
        <v>37</v>
      </c>
      <c r="G11" s="318">
        <f>VLOOKUP($C$3,bestand_alle,11,FALSE)</f>
        <v>1659</v>
      </c>
      <c r="H11" s="319">
        <f>VLOOKUP($C$3,bestand_alle,12,FALSE)</f>
        <v>1664</v>
      </c>
      <c r="I11" s="506"/>
      <c r="J11" s="507"/>
      <c r="K11" s="506"/>
      <c r="L11" s="510"/>
      <c r="M11" s="507"/>
      <c r="O11" s="493"/>
      <c r="P11" s="16"/>
      <c r="Q11" s="16"/>
      <c r="R11" s="16"/>
    </row>
    <row r="12" spans="2:18" ht="14.15" customHeight="1" x14ac:dyDescent="0.3">
      <c r="C12" s="169"/>
      <c r="D12" s="169"/>
      <c r="E12" s="169"/>
      <c r="F12" s="169"/>
      <c r="G12" s="169"/>
      <c r="H12" s="169"/>
      <c r="I12" s="169"/>
      <c r="J12" s="169"/>
      <c r="K12" s="170"/>
      <c r="L12" s="170"/>
      <c r="M12" s="170"/>
      <c r="O12" s="493"/>
      <c r="P12" s="16"/>
      <c r="Q12" s="16"/>
      <c r="R12" s="16"/>
    </row>
    <row r="13" spans="2:18" ht="14.15" customHeight="1" thickBot="1" x14ac:dyDescent="0.35">
      <c r="B13" s="168"/>
      <c r="C13" s="168"/>
      <c r="D13" s="168"/>
      <c r="E13" s="168"/>
      <c r="F13" s="168"/>
      <c r="G13" s="168"/>
      <c r="H13" s="168"/>
      <c r="I13" s="168"/>
      <c r="J13" s="168"/>
      <c r="K13" s="168"/>
      <c r="L13" s="168"/>
      <c r="M13" s="168"/>
      <c r="O13" s="493"/>
      <c r="P13" s="16"/>
      <c r="Q13" s="16"/>
      <c r="R13" s="16"/>
    </row>
    <row r="14" spans="2:18" ht="45" customHeight="1" thickBot="1" x14ac:dyDescent="0.35">
      <c r="B14" s="486" t="s">
        <v>125</v>
      </c>
      <c r="C14" s="487"/>
      <c r="D14" s="487"/>
      <c r="E14" s="487"/>
      <c r="F14" s="487"/>
      <c r="G14" s="487"/>
      <c r="H14" s="487"/>
      <c r="I14" s="487"/>
      <c r="J14" s="487"/>
      <c r="K14" s="487"/>
      <c r="L14" s="487"/>
      <c r="M14" s="488"/>
      <c r="N14" s="14"/>
      <c r="O14" s="493"/>
      <c r="P14" s="16"/>
      <c r="Q14" s="16"/>
      <c r="R14" s="16"/>
    </row>
    <row r="15" spans="2:18" ht="56.5" customHeight="1" x14ac:dyDescent="0.3">
      <c r="B15" s="174" t="s">
        <v>127</v>
      </c>
      <c r="C15" s="495" t="s">
        <v>176</v>
      </c>
      <c r="D15" s="456"/>
      <c r="E15" s="456"/>
      <c r="F15" s="456"/>
      <c r="G15" s="456"/>
      <c r="H15" s="456"/>
      <c r="I15" s="456"/>
      <c r="J15" s="456"/>
      <c r="K15" s="456"/>
      <c r="L15" s="456"/>
      <c r="M15" s="457"/>
      <c r="N15" s="12"/>
      <c r="O15" s="493"/>
      <c r="P15" s="16"/>
      <c r="Q15" s="16"/>
      <c r="R15" s="16"/>
    </row>
    <row r="16" spans="2:18" ht="139" customHeight="1" x14ac:dyDescent="0.3">
      <c r="B16" s="172" t="s">
        <v>69</v>
      </c>
      <c r="C16" s="496" t="s">
        <v>233</v>
      </c>
      <c r="D16" s="458"/>
      <c r="E16" s="458"/>
      <c r="F16" s="458"/>
      <c r="G16" s="458"/>
      <c r="H16" s="458"/>
      <c r="I16" s="458"/>
      <c r="J16" s="458"/>
      <c r="K16" s="458"/>
      <c r="L16" s="458"/>
      <c r="M16" s="459"/>
      <c r="N16" s="12"/>
      <c r="O16" s="493"/>
      <c r="P16" s="16"/>
      <c r="Q16" s="16"/>
      <c r="R16" s="16"/>
    </row>
    <row r="17" spans="2:18" ht="65.150000000000006" customHeight="1" thickBot="1" x14ac:dyDescent="0.35">
      <c r="B17" s="173" t="s">
        <v>128</v>
      </c>
      <c r="C17" s="497" t="s">
        <v>177</v>
      </c>
      <c r="D17" s="460"/>
      <c r="E17" s="460"/>
      <c r="F17" s="460"/>
      <c r="G17" s="460"/>
      <c r="H17" s="460"/>
      <c r="I17" s="460"/>
      <c r="J17" s="460"/>
      <c r="K17" s="460"/>
      <c r="L17" s="460"/>
      <c r="M17" s="461"/>
      <c r="N17" s="12"/>
      <c r="O17" s="494"/>
      <c r="P17" s="16"/>
      <c r="Q17" s="16"/>
      <c r="R17" s="16"/>
    </row>
    <row r="18" spans="2:18" ht="14.15" customHeight="1" x14ac:dyDescent="0.3">
      <c r="O18" s="1"/>
      <c r="P18" s="16"/>
      <c r="Q18" s="16"/>
      <c r="R18" s="16"/>
    </row>
    <row r="19" spans="2:18" ht="14.15" customHeight="1" x14ac:dyDescent="0.3"/>
    <row r="20" spans="2:18" ht="14.15" customHeight="1" x14ac:dyDescent="0.3"/>
    <row r="21" spans="2:18" ht="14.15" customHeight="1" x14ac:dyDescent="0.3">
      <c r="C21" s="17"/>
    </row>
    <row r="22" spans="2:18" ht="14.15" customHeight="1" x14ac:dyDescent="0.3"/>
    <row r="23" spans="2:18" ht="14.15" customHeight="1" x14ac:dyDescent="0.3"/>
    <row r="24" spans="2:18" ht="14.15" customHeight="1" x14ac:dyDescent="0.3"/>
    <row r="25" spans="2:18" ht="14.15" customHeight="1" x14ac:dyDescent="0.3"/>
    <row r="26" spans="2:18" ht="14.15" customHeight="1" x14ac:dyDescent="0.3"/>
    <row r="27" spans="2:18" ht="14.15" customHeight="1" x14ac:dyDescent="0.3"/>
    <row r="28" spans="2:18" ht="14.15" customHeight="1" x14ac:dyDescent="0.3"/>
    <row r="29" spans="2:18" ht="14.15" customHeight="1" x14ac:dyDescent="0.3"/>
    <row r="30" spans="2:18" ht="14.15" customHeight="1" x14ac:dyDescent="0.3"/>
    <row r="31" spans="2:18" ht="14.15" customHeight="1" x14ac:dyDescent="0.3"/>
    <row r="32" spans="2:18"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row r="40" ht="14.15" customHeight="1" x14ac:dyDescent="0.3"/>
    <row r="41" ht="14.15" customHeight="1" x14ac:dyDescent="0.3"/>
    <row r="42" ht="14.15" customHeight="1" x14ac:dyDescent="0.3"/>
    <row r="43" ht="14.15" customHeight="1" x14ac:dyDescent="0.3"/>
    <row r="44" ht="14.15" customHeight="1" x14ac:dyDescent="0.3"/>
    <row r="45" ht="14.15" customHeight="1" x14ac:dyDescent="0.3"/>
    <row r="46" ht="14.15" customHeight="1" x14ac:dyDescent="0.3"/>
    <row r="47" ht="14.15" customHeight="1" x14ac:dyDescent="0.3"/>
    <row r="48" ht="14.15" customHeight="1" x14ac:dyDescent="0.3"/>
    <row r="49" ht="14.15" customHeight="1" x14ac:dyDescent="0.3"/>
    <row r="50" ht="14.15" customHeight="1" x14ac:dyDescent="0.3"/>
    <row r="51" ht="14.15" customHeight="1" x14ac:dyDescent="0.3"/>
    <row r="52" ht="14.15" customHeight="1" x14ac:dyDescent="0.3"/>
    <row r="53" ht="14.15" customHeight="1" x14ac:dyDescent="0.3"/>
    <row r="54" ht="14.15" customHeight="1" x14ac:dyDescent="0.3"/>
    <row r="55" ht="14.15" customHeight="1" x14ac:dyDescent="0.3"/>
    <row r="56" ht="14.15" customHeight="1" x14ac:dyDescent="0.3"/>
    <row r="57" ht="14.15" customHeight="1" x14ac:dyDescent="0.3"/>
    <row r="58" ht="14.15" customHeight="1" x14ac:dyDescent="0.3"/>
    <row r="59" ht="14.15" customHeight="1" x14ac:dyDescent="0.3"/>
    <row r="60" ht="14.15" customHeight="1" x14ac:dyDescent="0.3"/>
    <row r="61" ht="14.15" customHeight="1" x14ac:dyDescent="0.3"/>
    <row r="62" ht="14.15" customHeight="1" x14ac:dyDescent="0.3"/>
    <row r="63" ht="14.15" customHeight="1" x14ac:dyDescent="0.3"/>
    <row r="64" ht="14.15" customHeight="1" x14ac:dyDescent="0.3"/>
    <row r="65" ht="14.15" customHeight="1" x14ac:dyDescent="0.3"/>
    <row r="66" ht="14.15" customHeight="1" x14ac:dyDescent="0.3"/>
    <row r="67" ht="14.15" customHeight="1" x14ac:dyDescent="0.3"/>
    <row r="68" ht="14.15" customHeight="1" x14ac:dyDescent="0.3"/>
    <row r="69" ht="14.15" customHeight="1" x14ac:dyDescent="0.3"/>
  </sheetData>
  <sheetProtection algorithmName="SHA-512" hashValue="sFMVWRWhbmNahzhx9lJDdZxwTxzQA58A2A/x1NdENfvnPujcQtAa9VExCwpmBP3xRZF1Z3khLWxJI/dGnMBcgw==" saltValue="0R5M61hp/M1eswXUCK38eA==" spinCount="100000" sheet="1" selectLockedCells="1"/>
  <protectedRanges>
    <protectedRange password="CAA2" sqref="C12 C8:C9" name="Summe"/>
    <protectedRange password="CAA2" sqref="C11" name="Summe_2"/>
    <protectedRange password="CAA2" sqref="C10" name="Summe_1_1"/>
  </protectedRanges>
  <customSheetViews>
    <customSheetView guid="{168849A9-FED9-4458-942F-290616B3A25C}" showPageBreaks="1" showGridLines="0" fitToPage="1" printArea="1" topLeftCell="A7">
      <selection activeCell="C17" sqref="C17:M17"/>
      <pageMargins left="0.70866141732283472" right="0.70866141732283472" top="1.1811023622047245" bottom="0.78740157480314965" header="0.31496062992125984" footer="0.31496062992125984"/>
      <pageSetup paperSize="8" scale="63" fitToHeight="0" orientation="landscape" cellComments="atEnd" r:id="rId1"/>
      <headerFooter>
        <oddHeader>&amp;LKennzahlenraster KIP / IAS&amp;R&amp;G</oddHeader>
        <oddFooter>&amp;L&amp;A: Sprachniveau Erwachsene&amp;R&amp;P</oddFooter>
      </headerFooter>
    </customSheetView>
  </customSheetViews>
  <mergeCells count="15">
    <mergeCell ref="O7:O17"/>
    <mergeCell ref="B14:M14"/>
    <mergeCell ref="C15:M15"/>
    <mergeCell ref="C16:M16"/>
    <mergeCell ref="B1:M1"/>
    <mergeCell ref="C3:D3"/>
    <mergeCell ref="C4:D4"/>
    <mergeCell ref="C17:M17"/>
    <mergeCell ref="C9:H9"/>
    <mergeCell ref="B6:H6"/>
    <mergeCell ref="I6:J6"/>
    <mergeCell ref="K6:M6"/>
    <mergeCell ref="I9:J11"/>
    <mergeCell ref="K9:M11"/>
    <mergeCell ref="B8:B9"/>
  </mergeCells>
  <dataValidations count="4">
    <dataValidation type="date" allowBlank="1" showInputMessage="1" showErrorMessage="1" error="Veuillez saisir une date de saisie comprise entre le 01.01.2023 et le 31.12.2023." promptTitle="Date de la saisie" prompt="Veuillez saisir la date de la saisie des données" sqref="C4:D4" xr:uid="{00000000-0002-0000-0B00-000001000000}">
      <formula1>44927</formula1>
      <formula2>45291</formula2>
    </dataValidation>
    <dataValidation allowBlank="1" sqref="J7 C10:H11" xr:uid="{00000000-0002-0000-0B00-000002000000}"/>
    <dataValidation operator="greaterThanOrEqual" allowBlank="1" sqref="I7" xr:uid="{00000000-0002-0000-0B00-000003000000}"/>
    <dataValidation type="whole" operator="greaterThanOrEqual" allowBlank="1" showErrorMessage="1" errorTitle="Fehler" error="Gültig sind nur positive, ganze Zahlen (0, 200, etc.). Kein Text" promptTitle="Ganze Zahlen" prompt="Nur ganzzahlige Werte (0, 1, 200 etc.)" sqref="D8:H8 D12:J12" xr:uid="{00000000-0002-0000-0B00-000000000000}">
      <formula1>0</formula1>
    </dataValidation>
  </dataValidations>
  <pageMargins left="0.70866141732283472" right="0.70866141732283472" top="1.1811023622047245" bottom="0.78740157480314965" header="0.31496062992125984" footer="0.31496062992125984"/>
  <pageSetup paperSize="8" scale="59" fitToHeight="0" orientation="landscape" cellComments="atEnd" r:id="rId2"/>
  <headerFooter>
    <oddFooter>&amp;L&amp;A: Sprachniveau Erwachsene&amp;R&amp;P</oddFooter>
  </headerFooter>
  <extLst>
    <ext xmlns:x14="http://schemas.microsoft.com/office/spreadsheetml/2009/9/main" uri="{CCE6A557-97BC-4b89-ADB6-D9C93CAAB3DF}">
      <x14:dataValidations xmlns:xm="http://schemas.microsoft.com/office/excel/2006/main" count="3">
        <x14:dataValidation type="list" allowBlank="1" xr:uid="{00000000-0002-0000-0B00-000004000000}">
          <x14:formula1>
            <xm:f>Dropdownlisten!$C$9:$C$11</xm:f>
          </x14:formula1>
          <xm:sqref>L8:M8 K8</xm:sqref>
        </x14:dataValidation>
        <x14:dataValidation type="list" xr:uid="{00000000-0002-0000-0B00-000005000000}">
          <x14:formula1>
            <xm:f>Dropdownlisten!$C$4:$C$6</xm:f>
          </x14:formula1>
          <xm:sqref>I8</xm:sqref>
        </x14:dataValidation>
        <x14:dataValidation type="list" xr:uid="{00000000-0002-0000-0B00-000006000000}">
          <x14:formula1>
            <xm:f>Dropdownlisten!$E$4:$E$6</xm:f>
          </x14:formula1>
          <xm:sqref>J8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tabColor theme="3" tint="0.59999389629810485"/>
    <pageSetUpPr fitToPage="1"/>
  </sheetPr>
  <dimension ref="B1:M31"/>
  <sheetViews>
    <sheetView showGridLines="0" zoomScale="75" zoomScaleNormal="75" workbookViewId="0">
      <selection activeCell="C4" sqref="C4:D4"/>
    </sheetView>
  </sheetViews>
  <sheetFormatPr baseColWidth="10" defaultColWidth="11" defaultRowHeight="14" x14ac:dyDescent="0.3"/>
  <cols>
    <col min="1" max="1" width="2.08203125" style="13" customWidth="1"/>
    <col min="2" max="2" width="40.08203125" style="13" customWidth="1"/>
    <col min="3" max="11" width="15.83203125" style="13" customWidth="1"/>
    <col min="12" max="12" width="2.5" style="13" customWidth="1"/>
    <col min="13" max="13" width="63.58203125" style="13" customWidth="1"/>
    <col min="14" max="14" width="2.08203125" style="13" customWidth="1"/>
    <col min="15" max="16384" width="11" style="13"/>
  </cols>
  <sheetData>
    <row r="1" spans="2:13" s="1" customFormat="1" ht="28" x14ac:dyDescent="0.6">
      <c r="B1" s="444" t="s">
        <v>242</v>
      </c>
      <c r="C1" s="444"/>
      <c r="D1" s="444"/>
      <c r="E1" s="444"/>
      <c r="F1" s="444"/>
      <c r="G1" s="444"/>
      <c r="H1" s="444"/>
      <c r="I1" s="444"/>
      <c r="J1" s="444"/>
      <c r="K1" s="444"/>
      <c r="L1" s="444"/>
      <c r="M1" s="444"/>
    </row>
    <row r="2" spans="2:13" s="1" customFormat="1" x14ac:dyDescent="0.3">
      <c r="B2" s="16"/>
      <c r="C2" s="16"/>
      <c r="D2" s="16"/>
      <c r="E2" s="16"/>
      <c r="F2" s="16"/>
      <c r="G2" s="16"/>
    </row>
    <row r="3" spans="2:13" s="1" customFormat="1" ht="28.5" customHeight="1" x14ac:dyDescent="0.3">
      <c r="B3" s="296" t="s">
        <v>44</v>
      </c>
      <c r="C3" s="446" t="str">
        <f>'Table des matières'!D4</f>
        <v>CH</v>
      </c>
      <c r="D3" s="446"/>
      <c r="E3" s="93"/>
      <c r="F3" s="93"/>
    </row>
    <row r="4" spans="2:13" s="1" customFormat="1" ht="28.5" customHeight="1" x14ac:dyDescent="0.3">
      <c r="B4" s="296" t="s">
        <v>65</v>
      </c>
      <c r="C4" s="445"/>
      <c r="D4" s="445"/>
      <c r="E4" s="93"/>
      <c r="F4" s="93"/>
      <c r="H4" s="94"/>
    </row>
    <row r="5" spans="2:13" ht="14.15" customHeight="1" thickBot="1" x14ac:dyDescent="0.35"/>
    <row r="6" spans="2:13" ht="45" customHeight="1" thickBot="1" x14ac:dyDescent="0.35">
      <c r="B6" s="447"/>
      <c r="C6" s="448"/>
      <c r="D6" s="448"/>
      <c r="E6" s="448"/>
      <c r="F6" s="448"/>
      <c r="G6" s="448"/>
      <c r="H6" s="448"/>
      <c r="I6" s="449"/>
      <c r="J6" s="431" t="s">
        <v>138</v>
      </c>
      <c r="K6" s="432"/>
      <c r="M6" s="67" t="s">
        <v>126</v>
      </c>
    </row>
    <row r="7" spans="2:13" s="16" customFormat="1" ht="45" customHeight="1" thickBot="1" x14ac:dyDescent="0.35">
      <c r="B7" s="166" t="s">
        <v>122</v>
      </c>
      <c r="C7" s="162" t="s">
        <v>0</v>
      </c>
      <c r="D7" s="163" t="s">
        <v>76</v>
      </c>
      <c r="E7" s="163" t="s">
        <v>77</v>
      </c>
      <c r="F7" s="163" t="s">
        <v>161</v>
      </c>
      <c r="G7" s="163" t="s">
        <v>78</v>
      </c>
      <c r="H7" s="164" t="s">
        <v>123</v>
      </c>
      <c r="I7" s="165" t="s">
        <v>124</v>
      </c>
      <c r="J7" s="345" t="s">
        <v>83</v>
      </c>
      <c r="K7" s="346" t="s">
        <v>197</v>
      </c>
      <c r="L7" s="13"/>
      <c r="M7" s="511"/>
    </row>
    <row r="8" spans="2:13" ht="60" customHeight="1" thickBot="1" x14ac:dyDescent="0.35">
      <c r="B8" s="468" t="s">
        <v>209</v>
      </c>
      <c r="C8" s="110">
        <f>SUM(D8:E8,G8)</f>
        <v>0</v>
      </c>
      <c r="D8" s="143"/>
      <c r="E8" s="144"/>
      <c r="F8" s="144"/>
      <c r="G8" s="144"/>
      <c r="H8" s="144"/>
      <c r="I8" s="145"/>
      <c r="J8" s="130" t="s">
        <v>35</v>
      </c>
      <c r="K8" s="132" t="s">
        <v>35</v>
      </c>
      <c r="M8" s="512"/>
    </row>
    <row r="9" spans="2:13" ht="30" customHeight="1" thickBot="1" x14ac:dyDescent="0.35">
      <c r="B9" s="484"/>
      <c r="C9" s="514"/>
      <c r="D9" s="515"/>
      <c r="E9" s="515"/>
      <c r="F9" s="515"/>
      <c r="G9" s="515"/>
      <c r="H9" s="515"/>
      <c r="I9" s="516"/>
      <c r="J9" s="517"/>
      <c r="K9" s="518"/>
      <c r="M9" s="512"/>
    </row>
    <row r="10" spans="2:13" ht="43.5" customHeight="1" x14ac:dyDescent="0.3">
      <c r="B10" s="239" t="s">
        <v>231</v>
      </c>
      <c r="C10" s="240">
        <f>SUM(D10:E10,G10)</f>
        <v>7134</v>
      </c>
      <c r="D10" s="323">
        <f>VLOOKUP($C$3,bestand_ias,18,FALSE)</f>
        <v>5579</v>
      </c>
      <c r="E10" s="323">
        <f>VLOOKUP($C$3,bestand_ias,19,FALSE)</f>
        <v>1555</v>
      </c>
      <c r="F10" s="323">
        <f>VLOOKUP($C$3,bestand_ias,20,FALSE)</f>
        <v>3054</v>
      </c>
      <c r="G10" s="323" t="s">
        <v>37</v>
      </c>
      <c r="H10" s="323">
        <f>VLOOKUP($C$3,bestand_ias,21,FALSE)</f>
        <v>3506</v>
      </c>
      <c r="I10" s="324">
        <f>VLOOKUP($C$3,bestand_ias,22,FALSE)</f>
        <v>3628</v>
      </c>
      <c r="J10" s="519"/>
      <c r="K10" s="520"/>
      <c r="M10" s="512"/>
    </row>
    <row r="11" spans="2:13" ht="43.5" customHeight="1" thickBot="1" x14ac:dyDescent="0.35">
      <c r="B11" s="231" t="s">
        <v>235</v>
      </c>
      <c r="C11" s="232">
        <f>SUM(D11:E11,G11)</f>
        <v>8011</v>
      </c>
      <c r="D11" s="320">
        <f>VLOOKUP($C$3,bestand_alle,13,FALSE)</f>
        <v>6071</v>
      </c>
      <c r="E11" s="321">
        <f>VLOOKUP($C$3,bestand_alle,14,FALSE)</f>
        <v>1940</v>
      </c>
      <c r="F11" s="321">
        <f>VLOOKUP($C$3,bestand_alle,15,FALSE)</f>
        <v>3054</v>
      </c>
      <c r="G11" s="321" t="s">
        <v>37</v>
      </c>
      <c r="H11" s="321">
        <f>VLOOKUP($C$3,bestand_alle,16,FALSE)</f>
        <v>3927</v>
      </c>
      <c r="I11" s="322">
        <f>VLOOKUP($C$3,bestand_alle,17,FALSE)</f>
        <v>4084</v>
      </c>
      <c r="J11" s="521"/>
      <c r="K11" s="522"/>
      <c r="M11" s="512"/>
    </row>
    <row r="12" spans="2:13" ht="14.15" customHeight="1" x14ac:dyDescent="0.3">
      <c r="B12" s="13" t="s">
        <v>246</v>
      </c>
      <c r="M12" s="512"/>
    </row>
    <row r="13" spans="2:13" ht="14.15" customHeight="1" thickBot="1" x14ac:dyDescent="0.35">
      <c r="J13" s="12"/>
      <c r="K13" s="12"/>
      <c r="M13" s="512"/>
    </row>
    <row r="14" spans="2:13" ht="45" customHeight="1" thickBot="1" x14ac:dyDescent="0.35">
      <c r="B14" s="453" t="s">
        <v>125</v>
      </c>
      <c r="C14" s="454"/>
      <c r="D14" s="454"/>
      <c r="E14" s="454"/>
      <c r="F14" s="454"/>
      <c r="G14" s="454"/>
      <c r="H14" s="454"/>
      <c r="I14" s="454"/>
      <c r="J14" s="454"/>
      <c r="K14" s="455"/>
      <c r="L14" s="14"/>
      <c r="M14" s="512"/>
    </row>
    <row r="15" spans="2:13" ht="54.65" customHeight="1" x14ac:dyDescent="0.3">
      <c r="B15" s="171" t="s">
        <v>127</v>
      </c>
      <c r="C15" s="495" t="s">
        <v>178</v>
      </c>
      <c r="D15" s="456"/>
      <c r="E15" s="456"/>
      <c r="F15" s="456"/>
      <c r="G15" s="456"/>
      <c r="H15" s="456"/>
      <c r="I15" s="456"/>
      <c r="J15" s="456"/>
      <c r="K15" s="457"/>
      <c r="L15" s="12"/>
      <c r="M15" s="512"/>
    </row>
    <row r="16" spans="2:13" ht="68.5" customHeight="1" x14ac:dyDescent="0.3">
      <c r="B16" s="172" t="s">
        <v>69</v>
      </c>
      <c r="C16" s="496" t="s">
        <v>199</v>
      </c>
      <c r="D16" s="458"/>
      <c r="E16" s="458"/>
      <c r="F16" s="458"/>
      <c r="G16" s="458"/>
      <c r="H16" s="458"/>
      <c r="I16" s="458"/>
      <c r="J16" s="458"/>
      <c r="K16" s="459"/>
      <c r="L16" s="12"/>
      <c r="M16" s="512"/>
    </row>
    <row r="17" spans="2:13" ht="50.15" customHeight="1" thickBot="1" x14ac:dyDescent="0.35">
      <c r="B17" s="173" t="s">
        <v>128</v>
      </c>
      <c r="C17" s="497" t="s">
        <v>205</v>
      </c>
      <c r="D17" s="460"/>
      <c r="E17" s="460"/>
      <c r="F17" s="460"/>
      <c r="G17" s="460"/>
      <c r="H17" s="460"/>
      <c r="I17" s="460"/>
      <c r="J17" s="460"/>
      <c r="K17" s="461"/>
      <c r="L17" s="12"/>
      <c r="M17" s="513"/>
    </row>
    <row r="18" spans="2:13" ht="14.15" customHeight="1" x14ac:dyDescent="0.3"/>
    <row r="19" spans="2:13" ht="14.15" customHeight="1" x14ac:dyDescent="0.3"/>
    <row r="20" spans="2:13" ht="14.15" customHeight="1" x14ac:dyDescent="0.3"/>
    <row r="21" spans="2:13" ht="14.15" customHeight="1" x14ac:dyDescent="0.3">
      <c r="C21" s="17"/>
    </row>
    <row r="22" spans="2:13" ht="14.15" customHeight="1" x14ac:dyDescent="0.3"/>
    <row r="23" spans="2:13" ht="14.15" customHeight="1" x14ac:dyDescent="0.3"/>
    <row r="24" spans="2:13" ht="14.15" customHeight="1" x14ac:dyDescent="0.3"/>
    <row r="25" spans="2:13" ht="14.15" customHeight="1" x14ac:dyDescent="0.3"/>
    <row r="26" spans="2:13" ht="14.15" customHeight="1" x14ac:dyDescent="0.3"/>
    <row r="27" spans="2:13" ht="14.15" customHeight="1" x14ac:dyDescent="0.3"/>
    <row r="28" spans="2:13" ht="14.15" customHeight="1" x14ac:dyDescent="0.3"/>
    <row r="29" spans="2:13" ht="14.15" customHeight="1" x14ac:dyDescent="0.3"/>
    <row r="30" spans="2:13" ht="14.15" customHeight="1" x14ac:dyDescent="0.3"/>
    <row r="31" spans="2:13" ht="14.15" customHeight="1" x14ac:dyDescent="0.3"/>
  </sheetData>
  <sheetProtection algorithmName="SHA-512" hashValue="CB9oDaVjcG+5g46DcQn7KXIHmfAtsSNfq3GWQl0YtabwY+k+il4NkBVTsFlYWXKS3PkJCSZ4SImb6A753+aw4A==" saltValue="NCZHvN4EVZ+SiElne93rUg==" spinCount="100000" sheet="1" selectLockedCells="1"/>
  <protectedRanges>
    <protectedRange password="CAA2" sqref="C8:C9" name="Summe"/>
    <protectedRange password="CAA2" sqref="C10:C11" name="Summe_1"/>
  </protectedRanges>
  <customSheetViews>
    <customSheetView guid="{168849A9-FED9-4458-942F-290616B3A25C}" scale="85" showPageBreaks="1" showGridLines="0" fitToPage="1" printArea="1" topLeftCell="A13">
      <selection activeCell="C17" sqref="C17:J17"/>
      <pageMargins left="0.70866141732283472" right="0.70866141732283472" top="1.1811023622047245" bottom="0.78740157480314965" header="0.31496062992125984" footer="0.31496062992125984"/>
      <pageSetup paperSize="8" scale="75" fitToHeight="0" orientation="landscape" cellComments="atEnd" r:id="rId1"/>
      <headerFooter>
        <oddHeader>&amp;LKennzahlenraster KIP / IAS&amp;R&amp;G</oddHeader>
        <oddFooter>&amp;L&amp;A: Sprachförderung Vorschulkinder&amp;R&amp;P</oddFooter>
      </headerFooter>
    </customSheetView>
  </customSheetViews>
  <mergeCells count="13">
    <mergeCell ref="B1:M1"/>
    <mergeCell ref="J6:K6"/>
    <mergeCell ref="M7:M17"/>
    <mergeCell ref="C3:D3"/>
    <mergeCell ref="C4:D4"/>
    <mergeCell ref="B8:B9"/>
    <mergeCell ref="B6:I6"/>
    <mergeCell ref="C16:K16"/>
    <mergeCell ref="C17:K17"/>
    <mergeCell ref="C9:I9"/>
    <mergeCell ref="B14:K14"/>
    <mergeCell ref="C15:K15"/>
    <mergeCell ref="J9:K11"/>
  </mergeCells>
  <dataValidations count="5">
    <dataValidation type="whole" operator="greaterThanOrEqual" allowBlank="1" showErrorMessage="1" errorTitle="Fehler" error="Gültig sind nur positive, ganze Zahlen (0, 200, etc.). Kein Text" promptTitle="Ganze Zahlen" prompt="Nur ganzzahlige Werte (0, 1, 200 etc.)" sqref="D8:I8" xr:uid="{00000000-0002-0000-0C00-000000000000}">
      <formula1>0</formula1>
    </dataValidation>
    <dataValidation type="date" allowBlank="1" showInputMessage="1" showErrorMessage="1" error="Veuillez saisir une date de saisie comprise entre le 01.01.2023 et le 31.12.2023." promptTitle="Date de la saisie" prompt="Veuillez saisir la date de la saisie des données" sqref="C4:D4" xr:uid="{00000000-0002-0000-0C00-000001000000}">
      <formula1>44927</formula1>
      <formula2>45291</formula2>
    </dataValidation>
    <dataValidation operator="greaterThanOrEqual" allowBlank="1" sqref="J7:K7" xr:uid="{00000000-0002-0000-0C00-000002000000}"/>
    <dataValidation operator="greaterThanOrEqual" sqref="J9" xr:uid="{00000000-0002-0000-0C00-000003000000}"/>
    <dataValidation allowBlank="1" sqref="C10:I11" xr:uid="{FAA5DD43-BE09-416C-A01D-4701FBED7B2F}"/>
  </dataValidations>
  <pageMargins left="0.70866141732283472" right="0.70866141732283472" top="1.1811023622047245" bottom="0.78740157480314965" header="0.31496062992125984" footer="0.31496062992125984"/>
  <pageSetup paperSize="8" scale="77" fitToHeight="0" orientation="landscape" cellComments="atEnd" r:id="rId2"/>
  <headerFooter>
    <oddHeader>&amp;LKennzahlenraster KIP / IAS&amp;R&amp;G</oddHeader>
    <oddFooter>&amp;L&amp;A: Sprachförderung Vorschulkinder&amp;R&amp;P</oddFooter>
  </headerFooter>
  <legacyDrawingHF r:id="rId3"/>
  <extLst>
    <ext xmlns:x14="http://schemas.microsoft.com/office/spreadsheetml/2009/9/main" uri="{CCE6A557-97BC-4b89-ADB6-D9C93CAAB3DF}">
      <x14:dataValidations xmlns:xm="http://schemas.microsoft.com/office/excel/2006/main" count="2">
        <x14:dataValidation type="list" operator="greaterThanOrEqual" xr:uid="{00000000-0002-0000-0C00-000005000000}">
          <x14:formula1>
            <xm:f>Dropdownlisten!$C$4:$C$6</xm:f>
          </x14:formula1>
          <xm:sqref>J8</xm:sqref>
        </x14:dataValidation>
        <x14:dataValidation type="list" operator="greaterThanOrEqual" xr:uid="{00000000-0002-0000-0C00-000006000000}">
          <x14:formula1>
            <xm:f>Dropdownlisten!$E$4:$E$6</xm:f>
          </x14:formula1>
          <xm:sqref>K8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theme="3" tint="0.59999389629810485"/>
    <pageSetUpPr fitToPage="1"/>
  </sheetPr>
  <dimension ref="B1:N46"/>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9.83203125" style="13" customWidth="1"/>
    <col min="3" max="11" width="15.83203125" style="13" customWidth="1"/>
    <col min="12" max="12" width="20.25" style="13" hidden="1" customWidth="1"/>
    <col min="13" max="13" width="2.58203125" style="13" customWidth="1"/>
    <col min="14" max="14" width="63.58203125" style="13" customWidth="1"/>
    <col min="15" max="16384" width="11" style="13"/>
  </cols>
  <sheetData>
    <row r="1" spans="2:14" s="1" customFormat="1" ht="28" x14ac:dyDescent="0.6">
      <c r="B1" s="444" t="s">
        <v>202</v>
      </c>
      <c r="C1" s="444"/>
      <c r="D1" s="444"/>
      <c r="E1" s="444"/>
      <c r="F1" s="444"/>
      <c r="G1" s="444"/>
      <c r="H1" s="444"/>
      <c r="I1" s="444"/>
      <c r="J1" s="444"/>
      <c r="K1" s="444"/>
      <c r="L1" s="262"/>
      <c r="M1" s="13"/>
      <c r="N1" s="13"/>
    </row>
    <row r="2" spans="2:14" s="1" customFormat="1" x14ac:dyDescent="0.3">
      <c r="B2" s="16"/>
      <c r="C2" s="16"/>
      <c r="D2" s="16"/>
      <c r="E2" s="16"/>
      <c r="F2" s="16"/>
      <c r="G2" s="16"/>
      <c r="M2" s="13"/>
    </row>
    <row r="3" spans="2:14" s="1" customFormat="1" ht="28.5" customHeight="1" x14ac:dyDescent="0.3">
      <c r="B3" s="296" t="s">
        <v>44</v>
      </c>
      <c r="C3" s="446" t="str">
        <f>'Table des matières'!D4</f>
        <v>CH</v>
      </c>
      <c r="D3" s="446"/>
      <c r="E3" s="93"/>
      <c r="F3" s="93"/>
      <c r="M3" s="13"/>
    </row>
    <row r="4" spans="2:14" s="1" customFormat="1" ht="28.5" customHeight="1" x14ac:dyDescent="0.3">
      <c r="B4" s="296" t="s">
        <v>65</v>
      </c>
      <c r="C4" s="445"/>
      <c r="D4" s="445"/>
      <c r="E4" s="93"/>
      <c r="F4" s="93"/>
      <c r="H4" s="94"/>
      <c r="M4" s="13"/>
    </row>
    <row r="5" spans="2:14" ht="14.15" customHeight="1" thickBot="1" x14ac:dyDescent="0.35"/>
    <row r="6" spans="2:14" ht="45" customHeight="1" thickBot="1" x14ac:dyDescent="0.35">
      <c r="B6" s="447"/>
      <c r="C6" s="448"/>
      <c r="D6" s="448"/>
      <c r="E6" s="448"/>
      <c r="F6" s="448"/>
      <c r="G6" s="448"/>
      <c r="H6" s="448"/>
      <c r="I6" s="449"/>
      <c r="J6" s="431" t="s">
        <v>138</v>
      </c>
      <c r="K6" s="432"/>
      <c r="L6" s="67" t="s">
        <v>139</v>
      </c>
      <c r="M6" s="273"/>
      <c r="N6" s="67" t="s">
        <v>126</v>
      </c>
    </row>
    <row r="7" spans="2:14" s="16" customFormat="1" ht="45" customHeight="1" thickBot="1" x14ac:dyDescent="0.35">
      <c r="B7" s="166" t="s">
        <v>122</v>
      </c>
      <c r="C7" s="162" t="s">
        <v>0</v>
      </c>
      <c r="D7" s="163" t="s">
        <v>76</v>
      </c>
      <c r="E7" s="163" t="s">
        <v>77</v>
      </c>
      <c r="F7" s="163" t="s">
        <v>161</v>
      </c>
      <c r="G7" s="163" t="s">
        <v>78</v>
      </c>
      <c r="H7" s="164" t="s">
        <v>123</v>
      </c>
      <c r="I7" s="175" t="s">
        <v>124</v>
      </c>
      <c r="J7" s="346" t="s">
        <v>83</v>
      </c>
      <c r="K7" s="346" t="s">
        <v>84</v>
      </c>
      <c r="L7" s="160" t="s">
        <v>142</v>
      </c>
      <c r="M7" s="274"/>
      <c r="N7" s="263"/>
    </row>
    <row r="8" spans="2:14" ht="58.5" customHeight="1" thickBot="1" x14ac:dyDescent="0.35">
      <c r="B8" s="330" t="s">
        <v>236</v>
      </c>
      <c r="C8" s="118">
        <f>SUM(D8:E8,G8)</f>
        <v>0</v>
      </c>
      <c r="D8" s="127"/>
      <c r="E8" s="119"/>
      <c r="F8" s="119"/>
      <c r="G8" s="119"/>
      <c r="H8" s="119"/>
      <c r="I8" s="128"/>
      <c r="J8" s="134" t="s">
        <v>35</v>
      </c>
      <c r="K8" s="133" t="s">
        <v>35</v>
      </c>
      <c r="L8" s="267" t="s">
        <v>35</v>
      </c>
      <c r="M8" s="275"/>
      <c r="N8" s="264"/>
    </row>
    <row r="9" spans="2:14" ht="43.5" customHeight="1" x14ac:dyDescent="0.3">
      <c r="B9" s="241" t="s">
        <v>231</v>
      </c>
      <c r="C9" s="238">
        <f>SUM(D9:E9,G9)</f>
        <v>5563</v>
      </c>
      <c r="D9" s="314">
        <f>VLOOKUP($C$3,bestand_ias,23,FALSE)</f>
        <v>1804</v>
      </c>
      <c r="E9" s="314">
        <f>VLOOKUP($C$3,bestand_ias,24,FALSE)</f>
        <v>3759</v>
      </c>
      <c r="F9" s="314">
        <f>VLOOKUP($C$3,bestand_ias,25,FALSE)</f>
        <v>7019</v>
      </c>
      <c r="G9" s="315" t="s">
        <v>37</v>
      </c>
      <c r="H9" s="315">
        <f>VLOOKUP($C$3,bestand_ias,26,FALSE)</f>
        <v>1307</v>
      </c>
      <c r="I9" s="316">
        <f>VLOOKUP($C$3,bestand_ias,27,FALSE)</f>
        <v>4256</v>
      </c>
      <c r="J9" s="523"/>
      <c r="K9" s="524"/>
      <c r="L9" s="268"/>
      <c r="M9" s="276"/>
      <c r="N9" s="264"/>
    </row>
    <row r="10" spans="2:14" ht="43.5" customHeight="1" thickBot="1" x14ac:dyDescent="0.35">
      <c r="B10" s="235" t="s">
        <v>232</v>
      </c>
      <c r="C10" s="232">
        <f>SUM(D10:E10,G10)</f>
        <v>7319</v>
      </c>
      <c r="D10" s="320">
        <f>VLOOKUP($C$3,bestand_alle,18,FALSE)</f>
        <v>2562</v>
      </c>
      <c r="E10" s="320">
        <f>VLOOKUP($C$3,bestand_alle,19,FALSE)</f>
        <v>4757</v>
      </c>
      <c r="F10" s="320">
        <f>VLOOKUP($C$3,bestand_alle,20,FALSE)</f>
        <v>7019</v>
      </c>
      <c r="G10" s="321" t="s">
        <v>37</v>
      </c>
      <c r="H10" s="321">
        <f>VLOOKUP($C$3,bestand_alle,21,FALSE)</f>
        <v>1897</v>
      </c>
      <c r="I10" s="322">
        <f>VLOOKUP($C$3,bestand_alle,22,FALSE)</f>
        <v>5422</v>
      </c>
      <c r="J10" s="525"/>
      <c r="K10" s="526"/>
      <c r="L10" s="269"/>
      <c r="M10" s="276"/>
      <c r="N10" s="264"/>
    </row>
    <row r="11" spans="2:14" ht="14.15" customHeight="1" x14ac:dyDescent="0.3">
      <c r="B11" s="342" t="s">
        <v>247</v>
      </c>
      <c r="N11" s="271"/>
    </row>
    <row r="12" spans="2:14" ht="14.15" customHeight="1" thickBot="1" x14ac:dyDescent="0.35">
      <c r="J12" s="12"/>
      <c r="K12" s="12"/>
      <c r="L12" s="12"/>
      <c r="N12" s="271"/>
    </row>
    <row r="13" spans="2:14" ht="45" customHeight="1" thickBot="1" x14ac:dyDescent="0.35">
      <c r="B13" s="453" t="s">
        <v>125</v>
      </c>
      <c r="C13" s="454"/>
      <c r="D13" s="454"/>
      <c r="E13" s="454"/>
      <c r="F13" s="454"/>
      <c r="G13" s="454"/>
      <c r="H13" s="454"/>
      <c r="I13" s="454"/>
      <c r="J13" s="454"/>
      <c r="K13" s="454"/>
      <c r="L13" s="455"/>
      <c r="M13" s="14"/>
      <c r="N13" s="271"/>
    </row>
    <row r="14" spans="2:14" ht="35.25" customHeight="1" thickBot="1" x14ac:dyDescent="0.35">
      <c r="B14" s="174" t="s">
        <v>127</v>
      </c>
      <c r="C14" s="489" t="s">
        <v>237</v>
      </c>
      <c r="D14" s="490"/>
      <c r="E14" s="490"/>
      <c r="F14" s="490"/>
      <c r="G14" s="490"/>
      <c r="H14" s="490"/>
      <c r="I14" s="490"/>
      <c r="J14" s="490"/>
      <c r="K14" s="490"/>
      <c r="L14" s="491"/>
      <c r="M14" s="12"/>
      <c r="N14" s="271"/>
    </row>
    <row r="15" spans="2:14" ht="190.5" customHeight="1" thickBot="1" x14ac:dyDescent="0.35">
      <c r="B15" s="172" t="s">
        <v>69</v>
      </c>
      <c r="C15" s="489" t="s">
        <v>238</v>
      </c>
      <c r="D15" s="490"/>
      <c r="E15" s="490"/>
      <c r="F15" s="490"/>
      <c r="G15" s="490"/>
      <c r="H15" s="490"/>
      <c r="I15" s="490"/>
      <c r="J15" s="490"/>
      <c r="K15" s="490"/>
      <c r="L15" s="491"/>
      <c r="M15" s="12"/>
      <c r="N15" s="271"/>
    </row>
    <row r="16" spans="2:14" ht="46.5" customHeight="1" thickBot="1" x14ac:dyDescent="0.35">
      <c r="B16" s="173" t="s">
        <v>128</v>
      </c>
      <c r="C16" s="489" t="s">
        <v>203</v>
      </c>
      <c r="D16" s="490"/>
      <c r="E16" s="490"/>
      <c r="F16" s="490"/>
      <c r="G16" s="490"/>
      <c r="H16" s="490"/>
      <c r="I16" s="490"/>
      <c r="J16" s="490"/>
      <c r="K16" s="490"/>
      <c r="L16" s="491"/>
      <c r="M16" s="12"/>
      <c r="N16" s="272"/>
    </row>
    <row r="17" spans="3:3" ht="14.15" customHeight="1" x14ac:dyDescent="0.3"/>
    <row r="18" spans="3:3" ht="14.15" customHeight="1" x14ac:dyDescent="0.3"/>
    <row r="19" spans="3:3" ht="14.15" customHeight="1" x14ac:dyDescent="0.3"/>
    <row r="20" spans="3:3" ht="14.15" customHeight="1" x14ac:dyDescent="0.3">
      <c r="C20" s="17"/>
    </row>
    <row r="21" spans="3:3" ht="14.15" customHeight="1" x14ac:dyDescent="0.3"/>
    <row r="22" spans="3:3" ht="14.15" customHeight="1" x14ac:dyDescent="0.3"/>
    <row r="23" spans="3:3" ht="14.15" customHeight="1" x14ac:dyDescent="0.3"/>
    <row r="24" spans="3:3" ht="14.15" customHeight="1" x14ac:dyDescent="0.3"/>
    <row r="25" spans="3:3" ht="14.15" customHeight="1" x14ac:dyDescent="0.3"/>
    <row r="26" spans="3:3" ht="14.15" customHeight="1" x14ac:dyDescent="0.3"/>
    <row r="27" spans="3:3" ht="14.15" customHeight="1" x14ac:dyDescent="0.3"/>
    <row r="28" spans="3:3" ht="14.15" customHeight="1" x14ac:dyDescent="0.3"/>
    <row r="29" spans="3:3" ht="14.15" customHeight="1" x14ac:dyDescent="0.3"/>
    <row r="30" spans="3:3" ht="14.15" customHeight="1" x14ac:dyDescent="0.3"/>
    <row r="31" spans="3:3" ht="14.15" customHeight="1" x14ac:dyDescent="0.3"/>
    <row r="32" spans="3:3"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row r="40" ht="14.15" customHeight="1" x14ac:dyDescent="0.3"/>
    <row r="41" ht="14.15" customHeight="1" x14ac:dyDescent="0.3"/>
    <row r="42" ht="14.15" customHeight="1" x14ac:dyDescent="0.3"/>
    <row r="43" ht="14.15" customHeight="1" x14ac:dyDescent="0.3"/>
    <row r="44" ht="14.15" customHeight="1" x14ac:dyDescent="0.3"/>
    <row r="45" ht="14.15" customHeight="1" x14ac:dyDescent="0.3"/>
    <row r="46" ht="14.15" customHeight="1" x14ac:dyDescent="0.3"/>
  </sheetData>
  <sheetProtection algorithmName="SHA-512" hashValue="z0xAUwOjl1x1cp7cjDy9qGBykKpaxJlbgh0vRG77tFiy2+XIegtEw67LEBqnF7b9K/R4GjMwrUN92Owb+DfElw==" saltValue="1IwO91Plu0JRokGKUVUZEw==" spinCount="100000" sheet="1" selectLockedCells="1"/>
  <protectedRanges>
    <protectedRange password="CAA2" sqref="C8" name="Summe"/>
    <protectedRange password="CAA2" sqref="C9:C10" name="Summe_1"/>
  </protectedRanges>
  <customSheetViews>
    <customSheetView guid="{168849A9-FED9-4458-942F-290616B3A25C}" scale="70" showPageBreaks="1" showGridLines="0" fitToPage="1" printArea="1" topLeftCell="A10">
      <selection activeCell="I26" sqref="I26"/>
      <pageMargins left="0.70866141732283472" right="0.70866141732283472" top="1.1811023622047245" bottom="0.78740157480314965" header="0.31496062992125984" footer="0.31496062992125984"/>
      <pageSetup paperSize="8" scale="75" fitToHeight="0" orientation="landscape" cellComments="atEnd" r:id="rId1"/>
      <headerFooter>
        <oddHeader>&amp;LKennzahlenraster KIP / IAS&amp;R&amp;G</oddHeader>
        <oddFooter>&amp;L&amp;A: Förderung Ausbildungsfähigkeit (16-25-Jährige)&amp;R&amp;P</oddFooter>
      </headerFooter>
    </customSheetView>
  </customSheetViews>
  <mergeCells count="10">
    <mergeCell ref="B13:L13"/>
    <mergeCell ref="C14:L14"/>
    <mergeCell ref="C15:L15"/>
    <mergeCell ref="C16:L16"/>
    <mergeCell ref="B1:K1"/>
    <mergeCell ref="C3:D3"/>
    <mergeCell ref="C4:D4"/>
    <mergeCell ref="J6:K6"/>
    <mergeCell ref="J9:K10"/>
    <mergeCell ref="B6:I6"/>
  </mergeCells>
  <dataValidations count="5">
    <dataValidation type="whole" operator="greaterThanOrEqual" allowBlank="1" showErrorMessage="1" errorTitle="Fehler" error="Gültig sind nur positive, ganze Zahlen (0, 200, etc.). Kein Text" promptTitle="Ganze Zahlen" prompt="Nur ganzzahlige Werte (0, 1, 200 etc.)" sqref="D8:I8" xr:uid="{00000000-0002-0000-0D00-000000000000}">
      <formula1>0</formula1>
    </dataValidation>
    <dataValidation type="date" allowBlank="1" showInputMessage="1" showErrorMessage="1" error="Veuillez saisir une date de saisie comprise entre le 01.01.2023 et le 31.12.2023." promptTitle="Date de la saisie" prompt="Veuillez saisir la date de la saisie des données" sqref="C4:D4" xr:uid="{00000000-0002-0000-0D00-000001000000}">
      <formula1>44927</formula1>
      <formula2>45291</formula2>
    </dataValidation>
    <dataValidation allowBlank="1" sqref="C9:I10" xr:uid="{8BBC7130-EE5A-405E-B5FB-74ECD51AD273}"/>
    <dataValidation type="list" allowBlank="1" showInputMessage="1" showErrorMessage="1" sqref="L9:L10" xr:uid="{00000000-0002-0000-0D00-000003000000}">
      <formula1>$P$4:$P$5</formula1>
    </dataValidation>
    <dataValidation operator="greaterThanOrEqual" allowBlank="1" sqref="M7 J7:K7" xr:uid="{00000000-0002-0000-0D00-000004000000}"/>
  </dataValidations>
  <pageMargins left="0.70866141732283472" right="0.70866141732283472" top="1.1811023622047245" bottom="0.78740157480314965" header="0.31496062992125984" footer="0.31496062992125984"/>
  <pageSetup paperSize="8" scale="69" fitToHeight="0" orientation="landscape" cellComments="atEnd" r:id="rId2"/>
  <headerFooter>
    <oddHeader>&amp;LKennzahlenraster KIP / IAS&amp;R&amp;G</oddHeader>
    <oddFooter>&amp;L&amp;A: Förderung Ausbildungsfähigkeit (16-25-Jährige)&amp;R&amp;P</oddFooter>
  </headerFooter>
  <legacyDrawingHF r:id="rId3"/>
  <extLst>
    <ext xmlns:x14="http://schemas.microsoft.com/office/spreadsheetml/2009/9/main" uri="{CCE6A557-97BC-4b89-ADB6-D9C93CAAB3DF}">
      <x14:dataValidations xmlns:xm="http://schemas.microsoft.com/office/excel/2006/main" count="3">
        <x14:dataValidation type="list" operator="greaterThanOrEqual" xr:uid="{00000000-0002-0000-0D00-000005000000}">
          <x14:formula1>
            <xm:f>Dropdownlisten!$C$4:$C$6</xm:f>
          </x14:formula1>
          <xm:sqref>J8</xm:sqref>
        </x14:dataValidation>
        <x14:dataValidation type="list" operator="greaterThanOrEqual" xr:uid="{00000000-0002-0000-0D00-000006000000}">
          <x14:formula1>
            <xm:f>Dropdownlisten!$E$4:$E$6</xm:f>
          </x14:formula1>
          <xm:sqref>K8 M8</xm:sqref>
        </x14:dataValidation>
        <x14:dataValidation type="list" allowBlank="1" showInputMessage="1" showErrorMessage="1" xr:uid="{00000000-0002-0000-0D00-000007000000}">
          <x14:formula1>
            <xm:f>Dropdownlisten!$E$9:$E$11</xm:f>
          </x14:formula1>
          <xm:sqref>L8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tabColor theme="3" tint="0.59999389629810485"/>
    <pageSetUpPr fitToPage="1"/>
  </sheetPr>
  <dimension ref="B1:M38"/>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9.33203125" style="13" customWidth="1"/>
    <col min="3" max="11" width="15.83203125" style="13" customWidth="1"/>
    <col min="12" max="12" width="2.5" style="13" customWidth="1"/>
    <col min="13" max="13" width="63.58203125" style="13" customWidth="1"/>
    <col min="14" max="14" width="2.08203125" style="13" customWidth="1"/>
    <col min="15" max="16384" width="11" style="13"/>
  </cols>
  <sheetData>
    <row r="1" spans="2:13" s="1" customFormat="1" ht="25" x14ac:dyDescent="0.5">
      <c r="B1" s="476" t="s">
        <v>204</v>
      </c>
      <c r="C1" s="476"/>
      <c r="D1" s="476"/>
      <c r="E1" s="476"/>
      <c r="F1" s="476"/>
      <c r="G1" s="476"/>
      <c r="H1" s="476"/>
      <c r="I1" s="476"/>
      <c r="J1" s="476"/>
      <c r="K1" s="476"/>
    </row>
    <row r="2" spans="2:13" s="1" customFormat="1" x14ac:dyDescent="0.3">
      <c r="B2" s="16"/>
      <c r="C2" s="16"/>
      <c r="D2" s="16"/>
      <c r="E2" s="16"/>
      <c r="F2" s="16"/>
      <c r="G2" s="16"/>
    </row>
    <row r="3" spans="2:13" s="1" customFormat="1" ht="28.5" customHeight="1" x14ac:dyDescent="0.3">
      <c r="B3" s="296" t="s">
        <v>44</v>
      </c>
      <c r="C3" s="446" t="str">
        <f>'Table des matières'!D4</f>
        <v>CH</v>
      </c>
      <c r="D3" s="446"/>
      <c r="E3" s="93"/>
      <c r="F3" s="93"/>
    </row>
    <row r="4" spans="2:13" s="1" customFormat="1" ht="28.5" customHeight="1" x14ac:dyDescent="0.3">
      <c r="B4" s="296" t="s">
        <v>65</v>
      </c>
      <c r="C4" s="445"/>
      <c r="D4" s="445"/>
      <c r="E4" s="93"/>
      <c r="F4" s="93"/>
      <c r="H4" s="94"/>
    </row>
    <row r="5" spans="2:13" ht="14.15" customHeight="1" thickBot="1" x14ac:dyDescent="0.35"/>
    <row r="6" spans="2:13" ht="45" customHeight="1" thickBot="1" x14ac:dyDescent="0.35">
      <c r="B6" s="447"/>
      <c r="C6" s="448"/>
      <c r="D6" s="448"/>
      <c r="E6" s="448"/>
      <c r="F6" s="448"/>
      <c r="G6" s="448"/>
      <c r="H6" s="448"/>
      <c r="I6" s="449"/>
      <c r="J6" s="431" t="s">
        <v>138</v>
      </c>
      <c r="K6" s="432"/>
      <c r="M6" s="67" t="s">
        <v>126</v>
      </c>
    </row>
    <row r="7" spans="2:13" s="16" customFormat="1" ht="45" customHeight="1" thickBot="1" x14ac:dyDescent="0.35">
      <c r="B7" s="166" t="s">
        <v>122</v>
      </c>
      <c r="C7" s="162" t="s">
        <v>0</v>
      </c>
      <c r="D7" s="163" t="s">
        <v>76</v>
      </c>
      <c r="E7" s="163" t="s">
        <v>77</v>
      </c>
      <c r="F7" s="163" t="s">
        <v>161</v>
      </c>
      <c r="G7" s="163" t="s">
        <v>78</v>
      </c>
      <c r="H7" s="164" t="s">
        <v>123</v>
      </c>
      <c r="I7" s="165" t="s">
        <v>124</v>
      </c>
      <c r="J7" s="346" t="s">
        <v>83</v>
      </c>
      <c r="K7" s="346" t="s">
        <v>197</v>
      </c>
      <c r="L7" s="13"/>
      <c r="M7" s="527"/>
    </row>
    <row r="8" spans="2:13" ht="61" customHeight="1" thickBot="1" x14ac:dyDescent="0.35">
      <c r="B8" s="330" t="s">
        <v>241</v>
      </c>
      <c r="C8" s="118">
        <f>SUM(D8:E8,G8)</f>
        <v>0</v>
      </c>
      <c r="D8" s="127"/>
      <c r="E8" s="119"/>
      <c r="F8" s="119"/>
      <c r="G8" s="119"/>
      <c r="H8" s="119"/>
      <c r="I8" s="120"/>
      <c r="J8" s="134" t="s">
        <v>35</v>
      </c>
      <c r="K8" s="133" t="s">
        <v>35</v>
      </c>
      <c r="M8" s="528"/>
    </row>
    <row r="9" spans="2:13" ht="43.5" customHeight="1" x14ac:dyDescent="0.3">
      <c r="B9" s="241" t="s">
        <v>231</v>
      </c>
      <c r="C9" s="238">
        <f>SUM(D9:E9,G9)</f>
        <v>11007</v>
      </c>
      <c r="D9" s="325">
        <f>VLOOKUP($C$3,bestand_ias,28,FALSE)</f>
        <v>7842</v>
      </c>
      <c r="E9" s="315">
        <f>VLOOKUP($C$3,bestand_ias,29,FALSE)</f>
        <v>3165</v>
      </c>
      <c r="F9" s="315">
        <f>VLOOKUP($C$3,bestand_ias,30,FALSE)</f>
        <v>27016</v>
      </c>
      <c r="G9" s="315" t="s">
        <v>37</v>
      </c>
      <c r="H9" s="314">
        <f>VLOOKUP($C$3,bestand_ias,31,FALSE)</f>
        <v>5361</v>
      </c>
      <c r="I9" s="326">
        <f>VLOOKUP($C$3,bestand_ias,32,FALSE)</f>
        <v>5646</v>
      </c>
      <c r="J9" s="523"/>
      <c r="K9" s="524"/>
      <c r="M9" s="528"/>
    </row>
    <row r="10" spans="2:13" ht="43.5" customHeight="1" thickBot="1" x14ac:dyDescent="0.35">
      <c r="B10" s="235" t="s">
        <v>232</v>
      </c>
      <c r="C10" s="232">
        <f>SUM(D10:E10,G10)</f>
        <v>15860</v>
      </c>
      <c r="D10" s="327">
        <f>VLOOKUP($C$3,bestand_alle,23,FALSE)</f>
        <v>11404</v>
      </c>
      <c r="E10" s="321">
        <f>VLOOKUP($C$3,bestand_alle,24,FALSE)</f>
        <v>4456</v>
      </c>
      <c r="F10" s="321">
        <f>VLOOKUP($C$3,bestand_alle,25,FALSE)</f>
        <v>27016</v>
      </c>
      <c r="G10" s="321" t="s">
        <v>37</v>
      </c>
      <c r="H10" s="320">
        <f>VLOOKUP($C$3,bestand_alle,26,FALSE)</f>
        <v>8211</v>
      </c>
      <c r="I10" s="328">
        <f>VLOOKUP($C$3,bestand_alle,27,FALSE)</f>
        <v>7649</v>
      </c>
      <c r="J10" s="525"/>
      <c r="K10" s="526"/>
      <c r="M10" s="528"/>
    </row>
    <row r="11" spans="2:13" x14ac:dyDescent="0.3">
      <c r="B11" s="342" t="s">
        <v>247</v>
      </c>
      <c r="L11" s="14"/>
      <c r="M11" s="528"/>
    </row>
    <row r="12" spans="2:13" ht="14.5" thickBot="1" x14ac:dyDescent="0.35">
      <c r="L12" s="14"/>
      <c r="M12" s="528"/>
    </row>
    <row r="13" spans="2:13" ht="45" customHeight="1" thickBot="1" x14ac:dyDescent="0.35">
      <c r="B13" s="453" t="s">
        <v>125</v>
      </c>
      <c r="C13" s="454"/>
      <c r="D13" s="454"/>
      <c r="E13" s="454"/>
      <c r="F13" s="454"/>
      <c r="G13" s="454"/>
      <c r="H13" s="454"/>
      <c r="I13" s="454"/>
      <c r="J13" s="454"/>
      <c r="K13" s="455"/>
      <c r="L13" s="12"/>
      <c r="M13" s="528"/>
    </row>
    <row r="14" spans="2:13" ht="57" customHeight="1" thickBot="1" x14ac:dyDescent="0.35">
      <c r="B14" s="174" t="s">
        <v>127</v>
      </c>
      <c r="C14" s="489" t="s">
        <v>239</v>
      </c>
      <c r="D14" s="490"/>
      <c r="E14" s="490"/>
      <c r="F14" s="490"/>
      <c r="G14" s="490"/>
      <c r="H14" s="490"/>
      <c r="I14" s="490"/>
      <c r="J14" s="490"/>
      <c r="K14" s="491"/>
      <c r="L14" s="12"/>
      <c r="M14" s="528"/>
    </row>
    <row r="15" spans="2:13" ht="207" customHeight="1" thickBot="1" x14ac:dyDescent="0.35">
      <c r="B15" s="172" t="s">
        <v>69</v>
      </c>
      <c r="C15" s="489" t="s">
        <v>240</v>
      </c>
      <c r="D15" s="490"/>
      <c r="E15" s="490"/>
      <c r="F15" s="490"/>
      <c r="G15" s="490"/>
      <c r="H15" s="490"/>
      <c r="I15" s="490"/>
      <c r="J15" s="490"/>
      <c r="K15" s="491"/>
      <c r="M15" s="528"/>
    </row>
    <row r="16" spans="2:13" ht="55" customHeight="1" thickBot="1" x14ac:dyDescent="0.35">
      <c r="B16" s="173" t="s">
        <v>128</v>
      </c>
      <c r="C16" s="489" t="s">
        <v>206</v>
      </c>
      <c r="D16" s="490"/>
      <c r="E16" s="490"/>
      <c r="F16" s="490"/>
      <c r="G16" s="490"/>
      <c r="H16" s="490"/>
      <c r="I16" s="490"/>
      <c r="J16" s="490"/>
      <c r="K16" s="491"/>
      <c r="M16" s="529"/>
    </row>
    <row r="17" spans="3:11" ht="14.15" customHeight="1" x14ac:dyDescent="0.3">
      <c r="J17" s="12"/>
      <c r="K17" s="12"/>
    </row>
    <row r="18" spans="3:11" ht="14.15" customHeight="1" x14ac:dyDescent="0.3"/>
    <row r="19" spans="3:11" ht="14.15" customHeight="1" x14ac:dyDescent="0.3"/>
    <row r="20" spans="3:11" ht="14.15" customHeight="1" x14ac:dyDescent="0.3">
      <c r="C20" s="17"/>
    </row>
    <row r="21" spans="3:11" ht="14.15" customHeight="1" x14ac:dyDescent="0.3"/>
    <row r="22" spans="3:11" ht="14.15" customHeight="1" x14ac:dyDescent="0.3"/>
    <row r="23" spans="3:11" ht="14.15" customHeight="1" x14ac:dyDescent="0.3"/>
    <row r="24" spans="3:11" ht="14.15" customHeight="1" x14ac:dyDescent="0.3"/>
    <row r="25" spans="3:11" ht="14.15" customHeight="1" x14ac:dyDescent="0.3"/>
    <row r="26" spans="3:11" ht="14.15" customHeight="1" x14ac:dyDescent="0.3"/>
    <row r="27" spans="3:11" ht="14.15" customHeight="1" x14ac:dyDescent="0.3"/>
    <row r="28" spans="3:11" ht="14.15" customHeight="1" x14ac:dyDescent="0.3"/>
    <row r="29" spans="3:11" ht="14.15" customHeight="1" x14ac:dyDescent="0.3"/>
    <row r="30" spans="3:11" ht="14.15" customHeight="1" x14ac:dyDescent="0.3"/>
    <row r="31" spans="3:11" ht="14.15" customHeight="1" x14ac:dyDescent="0.3"/>
    <row r="32" spans="3:11"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sheetData>
  <sheetProtection algorithmName="SHA-512" hashValue="eUzYDc/gsVX2azboc9rm3NYQZwDVmJG1/05UwWe1pJ1beNsvtWUknJKBVvyXdZQ9x+0cfbmi6UkdVnz0+s63Jw==" saltValue="X26ot0S7bSUM9UUiCnJ2aA==" spinCount="100000" sheet="1" selectLockedCells="1"/>
  <protectedRanges>
    <protectedRange password="CAA2" sqref="C8" name="Summe"/>
    <protectedRange password="CAA2" sqref="C9:C10" name="Summe_4_1"/>
  </protectedRanges>
  <customSheetViews>
    <customSheetView guid="{168849A9-FED9-4458-942F-290616B3A25C}" scale="50" showPageBreaks="1" showGridLines="0" fitToPage="1" printArea="1" topLeftCell="A13">
      <selection activeCell="L57" sqref="L57"/>
      <pageMargins left="0.70866141732283472" right="0.70866141732283472" top="1.1811023622047245" bottom="0.78740157480314965" header="0.31496062992125984" footer="0.31496062992125984"/>
      <pageSetup paperSize="8" scale="75" fitToHeight="0" orientation="landscape" cellComments="atEnd" r:id="rId1"/>
      <headerFooter>
        <oddHeader>&amp;LKennzahlenraster KIP / IAS&amp;R&amp;G</oddHeader>
        <oddFooter>&amp;L&amp;A: Förderung Arbeitsfähigkeit (26-55-Jährige)&amp;R&amp;P</oddFooter>
      </headerFooter>
    </customSheetView>
  </customSheetViews>
  <mergeCells count="11">
    <mergeCell ref="M7:M16"/>
    <mergeCell ref="J9:K10"/>
    <mergeCell ref="B13:K13"/>
    <mergeCell ref="C14:K14"/>
    <mergeCell ref="C15:K15"/>
    <mergeCell ref="C16:K16"/>
    <mergeCell ref="C3:D3"/>
    <mergeCell ref="C4:D4"/>
    <mergeCell ref="B6:I6"/>
    <mergeCell ref="J6:K6"/>
    <mergeCell ref="B1:K1"/>
  </mergeCells>
  <dataValidations xWindow="533" yWindow="628" count="4">
    <dataValidation type="whole" operator="greaterThanOrEqual" allowBlank="1" showErrorMessage="1" errorTitle="Fehler" error="Gültig sind nur positive, ganze Zahlen (0, 200, etc.). Kein Text" promptTitle="Ganze Zahlen" prompt="Nur ganzzahlige Werte (0, 1, 200 etc.)" sqref="D8:I8" xr:uid="{00000000-0002-0000-0E00-000000000000}">
      <formula1>0</formula1>
    </dataValidation>
    <dataValidation type="date" allowBlank="1" showInputMessage="1" showErrorMessage="1" error="Veuillez saisir une date de saisie comprise entre le 01.01.2023 et le 31.12.2023." promptTitle="Date de la saisie" prompt="Veuillez saisir la date de la saisie des données" sqref="C4:D4" xr:uid="{00000000-0002-0000-0E00-000001000000}">
      <formula1>44927</formula1>
      <formula2>45291</formula2>
    </dataValidation>
    <dataValidation operator="greaterThanOrEqual" allowBlank="1" sqref="J7:K7" xr:uid="{00000000-0002-0000-0E00-000002000000}"/>
    <dataValidation allowBlank="1" sqref="C9:I10" xr:uid="{7E7334AB-6B8C-4F59-80FD-8E414DC649AC}"/>
  </dataValidations>
  <pageMargins left="0.70866141732283472" right="0.70866141732283472" top="1.1811023622047245" bottom="0.78740157480314965" header="0.31496062992125984" footer="0.31496062992125984"/>
  <pageSetup paperSize="8" scale="69" fitToHeight="0" orientation="landscape" cellComments="atEnd" r:id="rId2"/>
  <headerFooter>
    <oddFooter>&amp;L&amp;A: Förderung Arbeitsfähigkeit (26-55-Jährige)&amp;R&amp;P</oddFooter>
  </headerFooter>
  <extLst>
    <ext xmlns:x14="http://schemas.microsoft.com/office/spreadsheetml/2009/9/main" uri="{CCE6A557-97BC-4b89-ADB6-D9C93CAAB3DF}">
      <x14:dataValidations xmlns:xm="http://schemas.microsoft.com/office/excel/2006/main" xWindow="533" yWindow="628" count="2">
        <x14:dataValidation type="list" operator="greaterThanOrEqual" xr:uid="{00000000-0002-0000-0E00-000005000000}">
          <x14:formula1>
            <xm:f>Dropdownlisten!$C$4:$C$6</xm:f>
          </x14:formula1>
          <xm:sqref>J8</xm:sqref>
        </x14:dataValidation>
        <x14:dataValidation type="list" operator="greaterThanOrEqual" xr:uid="{00000000-0002-0000-0E00-000006000000}">
          <x14:formula1>
            <xm:f>Dropdownlisten!$E$4:$E$6</xm:f>
          </x14:formula1>
          <xm:sqref>K8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7">
    <tabColor theme="3" tint="0.59999389629810485"/>
    <pageSetUpPr fitToPage="1"/>
  </sheetPr>
  <dimension ref="B1:M29"/>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40" style="13" customWidth="1"/>
    <col min="3" max="11" width="15.83203125" style="13" customWidth="1"/>
    <col min="12" max="12" width="2.5" style="13" customWidth="1"/>
    <col min="13" max="13" width="63.58203125" style="13" customWidth="1"/>
    <col min="14" max="14" width="2.08203125" style="13" customWidth="1"/>
    <col min="15" max="16384" width="11" style="13"/>
  </cols>
  <sheetData>
    <row r="1" spans="2:13" s="1" customFormat="1" ht="28" x14ac:dyDescent="0.6">
      <c r="B1" s="444" t="s">
        <v>207</v>
      </c>
      <c r="C1" s="444"/>
      <c r="D1" s="444"/>
      <c r="E1" s="444"/>
      <c r="F1" s="444"/>
      <c r="G1" s="444"/>
      <c r="H1" s="444"/>
      <c r="I1" s="444"/>
      <c r="J1" s="444"/>
      <c r="K1" s="444"/>
    </row>
    <row r="2" spans="2:13" s="1" customFormat="1" x14ac:dyDescent="0.3">
      <c r="B2" s="16"/>
      <c r="C2" s="16"/>
      <c r="D2" s="16"/>
      <c r="E2" s="16"/>
      <c r="F2" s="16"/>
      <c r="G2" s="16"/>
    </row>
    <row r="3" spans="2:13" s="1" customFormat="1" ht="28.5" customHeight="1" x14ac:dyDescent="0.3">
      <c r="B3" s="296" t="s">
        <v>44</v>
      </c>
      <c r="C3" s="446" t="str">
        <f>'Table des matières'!D4</f>
        <v>CH</v>
      </c>
      <c r="D3" s="446"/>
      <c r="E3" s="93"/>
      <c r="F3" s="93"/>
    </row>
    <row r="4" spans="2:13" s="1" customFormat="1" ht="28.5" customHeight="1" x14ac:dyDescent="0.3">
      <c r="B4" s="296" t="s">
        <v>65</v>
      </c>
      <c r="C4" s="445"/>
      <c r="D4" s="445"/>
      <c r="E4" s="93"/>
      <c r="F4" s="93"/>
      <c r="H4" s="94"/>
    </row>
    <row r="5" spans="2:13" ht="14.15" customHeight="1" thickBot="1" x14ac:dyDescent="0.35"/>
    <row r="6" spans="2:13" ht="45" customHeight="1" thickBot="1" x14ac:dyDescent="0.35">
      <c r="B6" s="447"/>
      <c r="C6" s="448"/>
      <c r="D6" s="448"/>
      <c r="E6" s="448"/>
      <c r="F6" s="448"/>
      <c r="G6" s="448"/>
      <c r="H6" s="448"/>
      <c r="I6" s="449"/>
      <c r="J6" s="431" t="s">
        <v>138</v>
      </c>
      <c r="K6" s="432"/>
      <c r="M6" s="67" t="s">
        <v>126</v>
      </c>
    </row>
    <row r="7" spans="2:13" s="16" customFormat="1" ht="45" customHeight="1" thickBot="1" x14ac:dyDescent="0.35">
      <c r="B7" s="166" t="s">
        <v>122</v>
      </c>
      <c r="C7" s="162" t="s">
        <v>0</v>
      </c>
      <c r="D7" s="163" t="s">
        <v>76</v>
      </c>
      <c r="E7" s="163" t="s">
        <v>77</v>
      </c>
      <c r="F7" s="163" t="s">
        <v>161</v>
      </c>
      <c r="G7" s="163" t="s">
        <v>78</v>
      </c>
      <c r="H7" s="164" t="s">
        <v>123</v>
      </c>
      <c r="I7" s="165" t="s">
        <v>124</v>
      </c>
      <c r="J7" s="346" t="s">
        <v>83</v>
      </c>
      <c r="K7" s="346" t="s">
        <v>197</v>
      </c>
      <c r="L7" s="13"/>
      <c r="M7" s="527"/>
    </row>
    <row r="8" spans="2:13" ht="75" customHeight="1" thickBot="1" x14ac:dyDescent="0.35">
      <c r="B8" s="298" t="s">
        <v>208</v>
      </c>
      <c r="C8" s="118">
        <f>SUM(D8:E8,G8)</f>
        <v>0</v>
      </c>
      <c r="D8" s="127"/>
      <c r="E8" s="119"/>
      <c r="F8" s="119"/>
      <c r="G8" s="119"/>
      <c r="H8" s="119"/>
      <c r="I8" s="120"/>
      <c r="J8" s="134" t="s">
        <v>35</v>
      </c>
      <c r="K8" s="133" t="s">
        <v>35</v>
      </c>
      <c r="M8" s="528"/>
    </row>
    <row r="9" spans="2:13" ht="43.5" customHeight="1" x14ac:dyDescent="0.3">
      <c r="B9" s="237" t="s">
        <v>231</v>
      </c>
      <c r="C9" s="238">
        <f>SUM(D9:E9,G9)</f>
        <v>18759</v>
      </c>
      <c r="D9" s="314">
        <f>VLOOKUP($C$3,bestand_ias,33,FALSE)</f>
        <v>10682</v>
      </c>
      <c r="E9" s="315">
        <f>VLOOKUP($C$3,bestand_ias,34,FALSE)</f>
        <v>8077</v>
      </c>
      <c r="F9" s="315">
        <f>VLOOKUP($C$3,bestand_ias,35,FALSE)</f>
        <v>45186</v>
      </c>
      <c r="G9" s="315" t="s">
        <v>37</v>
      </c>
      <c r="H9" s="315">
        <f>VLOOKUP($C$3,bestand_ias,36,FALSE)</f>
        <v>7488</v>
      </c>
      <c r="I9" s="316">
        <f>VLOOKUP($C$3,bestand_ias,37,FALSE)</f>
        <v>11271</v>
      </c>
      <c r="J9" s="523"/>
      <c r="K9" s="524"/>
      <c r="M9" s="528"/>
    </row>
    <row r="10" spans="2:13" ht="43.5" customHeight="1" thickBot="1" x14ac:dyDescent="0.35">
      <c r="B10" s="236" t="s">
        <v>232</v>
      </c>
      <c r="C10" s="234">
        <f>SUM(D10:E10,G10)</f>
        <v>27615</v>
      </c>
      <c r="D10" s="317">
        <f>VLOOKUP($C$3,bestand_alle,28,FALSE)</f>
        <v>16349</v>
      </c>
      <c r="E10" s="318">
        <f>VLOOKUP($C$3,bestand_alle,29,FALSE)</f>
        <v>11266</v>
      </c>
      <c r="F10" s="318">
        <f>VLOOKUP($C$3,bestand_alle,30,FALSE)</f>
        <v>45186</v>
      </c>
      <c r="G10" s="318" t="s">
        <v>37</v>
      </c>
      <c r="H10" s="318">
        <f>VLOOKUP($C$3,bestand_alle,31,FALSE)</f>
        <v>11815</v>
      </c>
      <c r="I10" s="319">
        <f>VLOOKUP($C$3,bestand_alle,32,FALSE)</f>
        <v>15800</v>
      </c>
      <c r="J10" s="525"/>
      <c r="K10" s="526"/>
      <c r="M10" s="528"/>
    </row>
    <row r="11" spans="2:13" ht="14.15" customHeight="1" thickTop="1" x14ac:dyDescent="0.3">
      <c r="B11" s="13" t="s">
        <v>246</v>
      </c>
      <c r="C11" s="183"/>
      <c r="M11" s="528"/>
    </row>
    <row r="12" spans="2:13" ht="14.15" customHeight="1" thickBot="1" x14ac:dyDescent="0.35">
      <c r="J12" s="12"/>
      <c r="K12" s="12"/>
      <c r="M12" s="528"/>
    </row>
    <row r="13" spans="2:13" ht="45" customHeight="1" thickBot="1" x14ac:dyDescent="0.35">
      <c r="B13" s="453" t="s">
        <v>125</v>
      </c>
      <c r="C13" s="454"/>
      <c r="D13" s="454"/>
      <c r="E13" s="454"/>
      <c r="F13" s="454"/>
      <c r="G13" s="454"/>
      <c r="H13" s="454"/>
      <c r="I13" s="454"/>
      <c r="J13" s="454"/>
      <c r="K13" s="455"/>
      <c r="L13" s="14"/>
      <c r="M13" s="528"/>
    </row>
    <row r="14" spans="2:13" ht="37.5" customHeight="1" x14ac:dyDescent="0.3">
      <c r="B14" s="174" t="s">
        <v>127</v>
      </c>
      <c r="C14" s="495" t="s">
        <v>179</v>
      </c>
      <c r="D14" s="456"/>
      <c r="E14" s="456"/>
      <c r="F14" s="456"/>
      <c r="G14" s="456"/>
      <c r="H14" s="456"/>
      <c r="I14" s="456"/>
      <c r="J14" s="456"/>
      <c r="K14" s="457"/>
      <c r="L14" s="12"/>
      <c r="M14" s="528"/>
    </row>
    <row r="15" spans="2:13" ht="58" customHeight="1" x14ac:dyDescent="0.3">
      <c r="B15" s="172" t="s">
        <v>69</v>
      </c>
      <c r="C15" s="496" t="s">
        <v>150</v>
      </c>
      <c r="D15" s="458"/>
      <c r="E15" s="458"/>
      <c r="F15" s="458"/>
      <c r="G15" s="458"/>
      <c r="H15" s="458"/>
      <c r="I15" s="458"/>
      <c r="J15" s="458"/>
      <c r="K15" s="459"/>
      <c r="L15" s="12"/>
      <c r="M15" s="528"/>
    </row>
    <row r="16" spans="2:13" ht="50.15" customHeight="1" thickBot="1" x14ac:dyDescent="0.35">
      <c r="B16" s="173" t="s">
        <v>128</v>
      </c>
      <c r="C16" s="497" t="s">
        <v>180</v>
      </c>
      <c r="D16" s="460"/>
      <c r="E16" s="460"/>
      <c r="F16" s="460"/>
      <c r="G16" s="460"/>
      <c r="H16" s="460"/>
      <c r="I16" s="460"/>
      <c r="J16" s="460"/>
      <c r="K16" s="461"/>
      <c r="L16" s="12"/>
      <c r="M16" s="529"/>
    </row>
    <row r="17" spans="3:3" ht="14.15" customHeight="1" x14ac:dyDescent="0.3"/>
    <row r="18" spans="3:3" ht="14.15" customHeight="1" x14ac:dyDescent="0.3"/>
    <row r="19" spans="3:3" ht="14.15" customHeight="1" x14ac:dyDescent="0.3"/>
    <row r="20" spans="3:3" ht="14.15" customHeight="1" x14ac:dyDescent="0.3">
      <c r="C20" s="17"/>
    </row>
    <row r="21" spans="3:3" ht="14.15" customHeight="1" x14ac:dyDescent="0.3"/>
    <row r="22" spans="3:3" ht="14.15" customHeight="1" x14ac:dyDescent="0.3"/>
    <row r="23" spans="3:3" ht="14.15" customHeight="1" x14ac:dyDescent="0.3"/>
    <row r="24" spans="3:3" ht="14.15" customHeight="1" x14ac:dyDescent="0.3"/>
    <row r="25" spans="3:3" ht="14.15" customHeight="1" x14ac:dyDescent="0.3"/>
    <row r="26" spans="3:3" ht="14.15" customHeight="1" x14ac:dyDescent="0.3"/>
    <row r="27" spans="3:3" ht="14.15" customHeight="1" x14ac:dyDescent="0.3"/>
    <row r="28" spans="3:3" ht="14.15" customHeight="1" x14ac:dyDescent="0.3"/>
    <row r="29" spans="3:3" ht="14.15" customHeight="1" x14ac:dyDescent="0.3"/>
  </sheetData>
  <sheetProtection algorithmName="SHA-512" hashValue="lCqN4j3qwEPN7j4DDorZb1VgAVJmNGsK1PW8S5e5DWAKlqevlY0CAWomWw1EEn+LmfO+OpoL3qjv/vAv7P3kXQ==" saltValue="qNSUy7Yu5HM3sJ4KTH45Kw==" spinCount="100000" sheet="1" selectLockedCells="1"/>
  <protectedRanges>
    <protectedRange password="CAA2" sqref="C8" name="Summe"/>
    <protectedRange password="CAA2" sqref="C9:C10" name="Summe_1"/>
  </protectedRanges>
  <customSheetViews>
    <customSheetView guid="{168849A9-FED9-4458-942F-290616B3A25C}" scale="50" showGridLines="0" fitToPage="1">
      <selection activeCell="C15" sqref="C15:J15"/>
      <pageMargins left="0.70866141732283472" right="0.70866141732283472" top="1.1811023622047245" bottom="0.78740157480314965" header="0.31496062992125984" footer="0.31496062992125984"/>
      <pageSetup paperSize="8" scale="77" fitToHeight="0" orientation="landscape" cellComments="atEnd" r:id="rId1"/>
      <headerFooter>
        <oddHeader>&amp;LKennzahlenraster KIP / IAS&amp;R&amp;G</oddHeader>
        <oddFooter>&amp;L&amp;A: Zusammenleben&amp;R&amp;P</oddFooter>
      </headerFooter>
    </customSheetView>
  </customSheetViews>
  <mergeCells count="11">
    <mergeCell ref="J9:K10"/>
    <mergeCell ref="M7:M16"/>
    <mergeCell ref="B13:K13"/>
    <mergeCell ref="C14:K14"/>
    <mergeCell ref="C15:K15"/>
    <mergeCell ref="C16:K16"/>
    <mergeCell ref="C3:D3"/>
    <mergeCell ref="C4:D4"/>
    <mergeCell ref="J6:K6"/>
    <mergeCell ref="B6:I6"/>
    <mergeCell ref="B1:K1"/>
  </mergeCells>
  <dataValidations count="4">
    <dataValidation type="whole" operator="greaterThanOrEqual" allowBlank="1" showErrorMessage="1" errorTitle="Fehler" error="Gültig sind nur positive, ganze Zahlen (0, 200, etc.). Kein Text" promptTitle="Ganze Zahlen" prompt="Nur ganzzahlige Werte (0, 1, 200 etc.)" sqref="D8:I8" xr:uid="{00000000-0002-0000-0F00-000000000000}">
      <formula1>0</formula1>
    </dataValidation>
    <dataValidation type="date" allowBlank="1" showInputMessage="1" showErrorMessage="1" error="Veuillez saisir une date de saisie comprise entre le 01.01.2023 et le 31.12.2023." promptTitle="Date de la saisie" prompt="Veuillez saisir la date de la saisie des données" sqref="C4:D4" xr:uid="{00000000-0002-0000-0F00-000001000000}">
      <formula1>44927</formula1>
      <formula2>45291</formula2>
    </dataValidation>
    <dataValidation operator="greaterThanOrEqual" allowBlank="1" sqref="J7:K7" xr:uid="{00000000-0002-0000-0F00-000002000000}"/>
    <dataValidation allowBlank="1" sqref="C9:I10" xr:uid="{6D7AB355-A3A6-47DB-9137-9821A006E2D8}"/>
  </dataValidations>
  <pageMargins left="0.70866141732283472" right="0.70866141732283472" top="1.1811023622047245" bottom="0.78740157480314965" header="0.31496062992125984" footer="0.31496062992125984"/>
  <pageSetup paperSize="8" scale="75" fitToHeight="0" orientation="landscape" cellComments="atEnd" r:id="rId2"/>
  <headerFooter>
    <oddFooter>&amp;L&amp;A: Zusammenleben&amp;R&amp;P</oddFooter>
  </headerFooter>
  <extLst>
    <ext xmlns:x14="http://schemas.microsoft.com/office/spreadsheetml/2009/9/main" uri="{CCE6A557-97BC-4b89-ADB6-D9C93CAAB3DF}">
      <x14:dataValidations xmlns:xm="http://schemas.microsoft.com/office/excel/2006/main" count="2">
        <x14:dataValidation type="list" operator="greaterThanOrEqual" xr:uid="{00000000-0002-0000-0F00-000004000000}">
          <x14:formula1>
            <xm:f>Dropdownlisten!$C$4:$C$6</xm:f>
          </x14:formula1>
          <xm:sqref>J8</xm:sqref>
        </x14:dataValidation>
        <x14:dataValidation type="list" operator="greaterThanOrEqual" xr:uid="{00000000-0002-0000-0F00-000005000000}">
          <x14:formula1>
            <xm:f>Dropdownlisten!$E$4:$E$6</xm:f>
          </x14:formula1>
          <xm:sqref>K8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theme="7"/>
  </sheetPr>
  <dimension ref="A1:AF52"/>
  <sheetViews>
    <sheetView showGridLines="0" zoomScaleNormal="100" workbookViewId="0">
      <selection activeCell="C6" sqref="C6:G6"/>
    </sheetView>
  </sheetViews>
  <sheetFormatPr baseColWidth="10" defaultRowHeight="14" x14ac:dyDescent="0.3"/>
  <cols>
    <col min="3" max="9" width="13.08203125" customWidth="1"/>
    <col min="10" max="10" width="13.08203125" hidden="1" customWidth="1"/>
    <col min="11" max="32" width="13.08203125" customWidth="1"/>
  </cols>
  <sheetData>
    <row r="1" spans="1:32" ht="30" x14ac:dyDescent="0.3">
      <c r="A1" s="530" t="s">
        <v>181</v>
      </c>
      <c r="B1" s="530"/>
      <c r="C1" s="530"/>
      <c r="D1" s="530"/>
      <c r="E1" s="530"/>
      <c r="F1" s="530"/>
      <c r="G1" s="530"/>
      <c r="H1" s="530"/>
      <c r="I1" s="530"/>
      <c r="J1" s="530"/>
      <c r="K1" s="530"/>
      <c r="L1" s="530"/>
      <c r="M1" s="530"/>
      <c r="N1" s="530"/>
      <c r="O1" s="530"/>
      <c r="P1" s="530"/>
      <c r="Q1" s="530"/>
    </row>
    <row r="3" spans="1:32" ht="20.149999999999999" customHeight="1" x14ac:dyDescent="0.3">
      <c r="A3" s="531" t="s">
        <v>163</v>
      </c>
      <c r="B3" s="532"/>
      <c r="C3" s="532"/>
      <c r="D3" s="532"/>
      <c r="E3" s="532"/>
      <c r="F3" s="532"/>
      <c r="G3" s="532"/>
      <c r="H3" s="532"/>
      <c r="I3" s="532"/>
      <c r="J3" s="532"/>
      <c r="K3" s="532"/>
      <c r="L3" s="532"/>
      <c r="M3" s="532"/>
      <c r="N3" s="532"/>
      <c r="O3" s="532"/>
      <c r="P3" s="532"/>
      <c r="Q3" s="533"/>
    </row>
    <row r="4" spans="1:32" ht="14.5" thickBot="1" x14ac:dyDescent="0.35">
      <c r="F4" s="181"/>
      <c r="K4" s="181"/>
      <c r="P4" s="181"/>
      <c r="U4" s="181"/>
      <c r="Z4" s="181"/>
      <c r="AE4" s="181"/>
    </row>
    <row r="5" spans="1:32" ht="14.5" thickBot="1" x14ac:dyDescent="0.35">
      <c r="A5" s="537" t="s">
        <v>151</v>
      </c>
      <c r="B5" s="540" t="s">
        <v>214</v>
      </c>
      <c r="C5" s="543" t="s">
        <v>153</v>
      </c>
      <c r="D5" s="544"/>
      <c r="E5" s="544"/>
      <c r="F5" s="544"/>
      <c r="G5" s="545"/>
      <c r="H5" s="543" t="s">
        <v>154</v>
      </c>
      <c r="I5" s="544"/>
      <c r="J5" s="544"/>
      <c r="K5" s="544"/>
      <c r="L5" s="545"/>
      <c r="M5" s="543" t="s">
        <v>155</v>
      </c>
      <c r="N5" s="544"/>
      <c r="O5" s="544"/>
      <c r="P5" s="544"/>
      <c r="Q5" s="545"/>
      <c r="R5" s="543" t="s">
        <v>158</v>
      </c>
      <c r="S5" s="544"/>
      <c r="T5" s="544"/>
      <c r="U5" s="544"/>
      <c r="V5" s="545"/>
      <c r="W5" s="543" t="s">
        <v>159</v>
      </c>
      <c r="X5" s="544"/>
      <c r="Y5" s="544"/>
      <c r="Z5" s="544"/>
      <c r="AA5" s="545"/>
      <c r="AB5" s="543" t="s">
        <v>160</v>
      </c>
      <c r="AC5" s="544"/>
      <c r="AD5" s="544"/>
      <c r="AE5" s="544"/>
      <c r="AF5" s="545"/>
    </row>
    <row r="6" spans="1:32" ht="59.15" customHeight="1" x14ac:dyDescent="0.3">
      <c r="A6" s="538"/>
      <c r="B6" s="541"/>
      <c r="C6" s="534" t="s">
        <v>164</v>
      </c>
      <c r="D6" s="535"/>
      <c r="E6" s="535"/>
      <c r="F6" s="535"/>
      <c r="G6" s="536"/>
      <c r="H6" s="534" t="s">
        <v>165</v>
      </c>
      <c r="I6" s="535"/>
      <c r="J6" s="535"/>
      <c r="K6" s="535"/>
      <c r="L6" s="536"/>
      <c r="M6" s="534" t="s">
        <v>166</v>
      </c>
      <c r="N6" s="535"/>
      <c r="O6" s="535"/>
      <c r="P6" s="535"/>
      <c r="Q6" s="536"/>
      <c r="R6" s="534" t="s">
        <v>167</v>
      </c>
      <c r="S6" s="535"/>
      <c r="T6" s="535"/>
      <c r="U6" s="535"/>
      <c r="V6" s="536"/>
      <c r="W6" s="534" t="s">
        <v>168</v>
      </c>
      <c r="X6" s="535"/>
      <c r="Y6" s="535"/>
      <c r="Z6" s="535"/>
      <c r="AA6" s="536"/>
      <c r="AB6" s="534" t="s">
        <v>169</v>
      </c>
      <c r="AC6" s="535"/>
      <c r="AD6" s="535"/>
      <c r="AE6" s="535"/>
      <c r="AF6" s="536"/>
    </row>
    <row r="7" spans="1:32" ht="14.15" customHeight="1" thickBot="1" x14ac:dyDescent="0.35">
      <c r="A7" s="539"/>
      <c r="B7" s="542"/>
      <c r="C7" s="186" t="s">
        <v>156</v>
      </c>
      <c r="D7" s="185" t="s">
        <v>157</v>
      </c>
      <c r="E7" s="185" t="s">
        <v>162</v>
      </c>
      <c r="F7" s="185" t="s">
        <v>123</v>
      </c>
      <c r="G7" s="187" t="s">
        <v>124</v>
      </c>
      <c r="H7" s="186" t="s">
        <v>156</v>
      </c>
      <c r="I7" s="185" t="s">
        <v>157</v>
      </c>
      <c r="J7" s="185" t="s">
        <v>162</v>
      </c>
      <c r="K7" s="185" t="s">
        <v>123</v>
      </c>
      <c r="L7" s="187" t="s">
        <v>124</v>
      </c>
      <c r="M7" s="186" t="s">
        <v>156</v>
      </c>
      <c r="N7" s="185" t="s">
        <v>157</v>
      </c>
      <c r="O7" s="185" t="s">
        <v>162</v>
      </c>
      <c r="P7" s="185" t="s">
        <v>123</v>
      </c>
      <c r="Q7" s="187" t="s">
        <v>124</v>
      </c>
      <c r="R7" s="186" t="s">
        <v>156</v>
      </c>
      <c r="S7" s="185" t="s">
        <v>157</v>
      </c>
      <c r="T7" s="185" t="s">
        <v>162</v>
      </c>
      <c r="U7" s="185" t="s">
        <v>123</v>
      </c>
      <c r="V7" s="187" t="s">
        <v>124</v>
      </c>
      <c r="W7" s="186" t="s">
        <v>156</v>
      </c>
      <c r="X7" s="185" t="s">
        <v>157</v>
      </c>
      <c r="Y7" s="185" t="s">
        <v>162</v>
      </c>
      <c r="Z7" s="185" t="s">
        <v>123</v>
      </c>
      <c r="AA7" s="187" t="s">
        <v>124</v>
      </c>
      <c r="AB7" s="186" t="s">
        <v>156</v>
      </c>
      <c r="AC7" s="185" t="s">
        <v>157</v>
      </c>
      <c r="AD7" s="185" t="s">
        <v>162</v>
      </c>
      <c r="AE7" s="185" t="s">
        <v>123</v>
      </c>
      <c r="AF7" s="187" t="s">
        <v>124</v>
      </c>
    </row>
    <row r="8" spans="1:32" ht="14.15" customHeight="1" x14ac:dyDescent="0.3">
      <c r="A8" s="189" t="s">
        <v>38</v>
      </c>
      <c r="B8" s="190">
        <v>44926</v>
      </c>
      <c r="C8" s="191">
        <v>14479</v>
      </c>
      <c r="D8" s="191">
        <v>9729</v>
      </c>
      <c r="E8" s="311">
        <v>44461</v>
      </c>
      <c r="F8" s="192">
        <v>10619</v>
      </c>
      <c r="G8" s="192">
        <v>13589</v>
      </c>
      <c r="H8" s="191">
        <v>2297</v>
      </c>
      <c r="I8" s="191">
        <v>1026</v>
      </c>
      <c r="J8" s="191"/>
      <c r="K8" s="191">
        <v>1659</v>
      </c>
      <c r="L8" s="191">
        <v>1664</v>
      </c>
      <c r="M8" s="191">
        <v>6071</v>
      </c>
      <c r="N8" s="191">
        <v>1940</v>
      </c>
      <c r="O8" s="191">
        <v>3054</v>
      </c>
      <c r="P8" s="191">
        <v>3927</v>
      </c>
      <c r="Q8" s="191">
        <v>4084</v>
      </c>
      <c r="R8" s="191">
        <v>2562</v>
      </c>
      <c r="S8" s="191">
        <v>4757</v>
      </c>
      <c r="T8" s="191">
        <v>7019</v>
      </c>
      <c r="U8" s="191">
        <v>1897</v>
      </c>
      <c r="V8" s="191">
        <v>5422</v>
      </c>
      <c r="W8" s="191">
        <v>11404</v>
      </c>
      <c r="X8" s="191">
        <v>4456</v>
      </c>
      <c r="Y8" s="191">
        <v>27016</v>
      </c>
      <c r="Z8" s="191">
        <v>8211</v>
      </c>
      <c r="AA8" s="191">
        <v>7649</v>
      </c>
      <c r="AB8" s="191">
        <v>16349</v>
      </c>
      <c r="AC8" s="191">
        <v>11266</v>
      </c>
      <c r="AD8" s="191">
        <v>45186</v>
      </c>
      <c r="AE8" s="191">
        <v>11815</v>
      </c>
      <c r="AF8" s="191">
        <v>15800</v>
      </c>
    </row>
    <row r="9" spans="1:32" ht="14.15" customHeight="1" x14ac:dyDescent="0.3">
      <c r="A9" s="141" t="s">
        <v>7</v>
      </c>
      <c r="B9" s="140">
        <v>44926</v>
      </c>
      <c r="C9" s="277">
        <v>1324</v>
      </c>
      <c r="D9" s="279">
        <v>776</v>
      </c>
      <c r="E9" s="279">
        <v>3340</v>
      </c>
      <c r="F9" s="136">
        <v>859</v>
      </c>
      <c r="G9" s="137">
        <v>1241</v>
      </c>
      <c r="H9" s="135">
        <v>234</v>
      </c>
      <c r="I9" s="136">
        <v>76</v>
      </c>
      <c r="J9" s="136"/>
      <c r="K9" s="136">
        <v>145</v>
      </c>
      <c r="L9" s="184">
        <v>165</v>
      </c>
      <c r="M9" s="135">
        <v>459</v>
      </c>
      <c r="N9" s="136">
        <v>91</v>
      </c>
      <c r="O9" s="136">
        <v>222</v>
      </c>
      <c r="P9" s="136">
        <v>298</v>
      </c>
      <c r="Q9" s="137">
        <v>252</v>
      </c>
      <c r="R9" s="277">
        <v>232</v>
      </c>
      <c r="S9" s="279">
        <v>422</v>
      </c>
      <c r="T9" s="279">
        <v>513</v>
      </c>
      <c r="U9" s="279">
        <v>153</v>
      </c>
      <c r="V9" s="280">
        <v>501</v>
      </c>
      <c r="W9" s="135">
        <v>1034</v>
      </c>
      <c r="X9" s="136">
        <v>316</v>
      </c>
      <c r="Y9" s="136">
        <v>2089</v>
      </c>
      <c r="Z9" s="136">
        <v>669</v>
      </c>
      <c r="AA9" s="137">
        <v>681</v>
      </c>
      <c r="AB9" s="277">
        <v>1496</v>
      </c>
      <c r="AC9" s="279">
        <v>922</v>
      </c>
      <c r="AD9" s="279">
        <v>3392</v>
      </c>
      <c r="AE9" s="279">
        <v>974</v>
      </c>
      <c r="AF9" s="280">
        <v>1444</v>
      </c>
    </row>
    <row r="10" spans="1:32" ht="14.15" customHeight="1" x14ac:dyDescent="0.3">
      <c r="A10" s="141" t="s">
        <v>6</v>
      </c>
      <c r="B10" s="140">
        <v>44926</v>
      </c>
      <c r="C10" s="278">
        <v>41</v>
      </c>
      <c r="D10" s="279">
        <v>22</v>
      </c>
      <c r="E10" s="279">
        <v>86</v>
      </c>
      <c r="F10" s="136">
        <v>21</v>
      </c>
      <c r="G10" s="137">
        <v>42</v>
      </c>
      <c r="H10" s="138">
        <v>3</v>
      </c>
      <c r="I10" s="136">
        <v>5</v>
      </c>
      <c r="J10" s="136"/>
      <c r="K10" s="136">
        <v>4</v>
      </c>
      <c r="L10" s="136">
        <v>4</v>
      </c>
      <c r="M10" s="138">
        <v>11</v>
      </c>
      <c r="N10" s="139">
        <v>1</v>
      </c>
      <c r="O10" s="136">
        <v>7</v>
      </c>
      <c r="P10" s="136">
        <v>7</v>
      </c>
      <c r="Q10" s="137">
        <v>5</v>
      </c>
      <c r="R10" s="278">
        <v>10</v>
      </c>
      <c r="S10" s="281">
        <v>12</v>
      </c>
      <c r="T10" s="281">
        <v>20</v>
      </c>
      <c r="U10" s="281">
        <v>5</v>
      </c>
      <c r="V10" s="280">
        <v>17</v>
      </c>
      <c r="W10" s="138">
        <v>30</v>
      </c>
      <c r="X10" s="139">
        <v>10</v>
      </c>
      <c r="Y10" s="139">
        <v>53</v>
      </c>
      <c r="Z10" s="139">
        <v>16</v>
      </c>
      <c r="AA10" s="137">
        <v>24</v>
      </c>
      <c r="AB10" s="278">
        <v>43</v>
      </c>
      <c r="AC10" s="281">
        <v>22</v>
      </c>
      <c r="AD10" s="281">
        <v>87</v>
      </c>
      <c r="AE10" s="281">
        <v>22</v>
      </c>
      <c r="AF10" s="280">
        <v>43</v>
      </c>
    </row>
    <row r="11" spans="1:32" ht="14.15" customHeight="1" x14ac:dyDescent="0.3">
      <c r="A11" s="141" t="s">
        <v>5</v>
      </c>
      <c r="B11" s="140">
        <v>44926</v>
      </c>
      <c r="C11" s="278">
        <v>115</v>
      </c>
      <c r="D11" s="279">
        <v>74</v>
      </c>
      <c r="E11" s="279">
        <v>304</v>
      </c>
      <c r="F11" s="136">
        <v>76</v>
      </c>
      <c r="G11" s="137">
        <v>113</v>
      </c>
      <c r="H11" s="138">
        <v>14</v>
      </c>
      <c r="I11" s="136">
        <v>8</v>
      </c>
      <c r="J11" s="136"/>
      <c r="K11" s="136">
        <v>11</v>
      </c>
      <c r="L11" s="136">
        <v>11</v>
      </c>
      <c r="M11" s="138">
        <v>55</v>
      </c>
      <c r="N11" s="139">
        <v>10</v>
      </c>
      <c r="O11" s="136">
        <v>28</v>
      </c>
      <c r="P11" s="136">
        <v>36</v>
      </c>
      <c r="Q11" s="137">
        <v>29</v>
      </c>
      <c r="R11" s="278">
        <v>20</v>
      </c>
      <c r="S11" s="281">
        <v>40</v>
      </c>
      <c r="T11" s="281">
        <v>50</v>
      </c>
      <c r="U11" s="281">
        <v>14</v>
      </c>
      <c r="V11" s="280">
        <v>46</v>
      </c>
      <c r="W11" s="138">
        <v>92</v>
      </c>
      <c r="X11" s="139">
        <v>30</v>
      </c>
      <c r="Y11" s="139">
        <v>182</v>
      </c>
      <c r="Z11" s="139">
        <v>60</v>
      </c>
      <c r="AA11" s="137">
        <v>62</v>
      </c>
      <c r="AB11" s="278">
        <v>136</v>
      </c>
      <c r="AC11" s="281">
        <v>82</v>
      </c>
      <c r="AD11" s="281">
        <v>311</v>
      </c>
      <c r="AE11" s="281">
        <v>83</v>
      </c>
      <c r="AF11" s="280">
        <v>135</v>
      </c>
    </row>
    <row r="12" spans="1:32" ht="14.15" customHeight="1" x14ac:dyDescent="0.3">
      <c r="A12" s="141" t="s">
        <v>8</v>
      </c>
      <c r="B12" s="140">
        <v>44926</v>
      </c>
      <c r="C12" s="278">
        <v>1887</v>
      </c>
      <c r="D12" s="279">
        <v>1244</v>
      </c>
      <c r="E12" s="279">
        <v>5083</v>
      </c>
      <c r="F12" s="136">
        <v>1370</v>
      </c>
      <c r="G12" s="137">
        <v>1761</v>
      </c>
      <c r="H12" s="138">
        <v>288</v>
      </c>
      <c r="I12" s="136">
        <v>141</v>
      </c>
      <c r="J12" s="136"/>
      <c r="K12" s="136">
        <v>218</v>
      </c>
      <c r="L12" s="136">
        <v>211</v>
      </c>
      <c r="M12" s="138">
        <v>883</v>
      </c>
      <c r="N12" s="139">
        <v>306</v>
      </c>
      <c r="O12" s="136">
        <v>360</v>
      </c>
      <c r="P12" s="136">
        <v>573</v>
      </c>
      <c r="Q12" s="137">
        <v>616</v>
      </c>
      <c r="R12" s="278">
        <v>281</v>
      </c>
      <c r="S12" s="281">
        <v>591</v>
      </c>
      <c r="T12" s="281">
        <v>815</v>
      </c>
      <c r="U12" s="281">
        <v>214</v>
      </c>
      <c r="V12" s="280">
        <v>658</v>
      </c>
      <c r="W12" s="138">
        <v>1530</v>
      </c>
      <c r="X12" s="139">
        <v>593</v>
      </c>
      <c r="Y12" s="139">
        <v>3098</v>
      </c>
      <c r="Z12" s="139">
        <v>1081</v>
      </c>
      <c r="AA12" s="137">
        <v>1042</v>
      </c>
      <c r="AB12" s="278">
        <v>2140</v>
      </c>
      <c r="AC12" s="281">
        <v>1438</v>
      </c>
      <c r="AD12" s="281">
        <v>5191</v>
      </c>
      <c r="AE12" s="281">
        <v>1534</v>
      </c>
      <c r="AF12" s="280">
        <v>2044</v>
      </c>
    </row>
    <row r="13" spans="1:32" ht="14.15" customHeight="1" x14ac:dyDescent="0.3">
      <c r="A13" s="141" t="s">
        <v>9</v>
      </c>
      <c r="B13" s="140">
        <v>44926</v>
      </c>
      <c r="C13" s="278">
        <v>328</v>
      </c>
      <c r="D13" s="279">
        <v>229</v>
      </c>
      <c r="E13" s="279">
        <v>1474</v>
      </c>
      <c r="F13" s="136">
        <v>251</v>
      </c>
      <c r="G13" s="137">
        <v>306</v>
      </c>
      <c r="H13" s="138">
        <v>60</v>
      </c>
      <c r="I13" s="139">
        <v>34</v>
      </c>
      <c r="J13" s="136"/>
      <c r="K13" s="136">
        <v>50</v>
      </c>
      <c r="L13" s="136">
        <v>44</v>
      </c>
      <c r="M13" s="138">
        <v>148</v>
      </c>
      <c r="N13" s="139">
        <v>46</v>
      </c>
      <c r="O13" s="136">
        <v>110</v>
      </c>
      <c r="P13" s="136">
        <v>104</v>
      </c>
      <c r="Q13" s="137">
        <v>90</v>
      </c>
      <c r="R13" s="278">
        <v>76</v>
      </c>
      <c r="S13" s="281">
        <v>138</v>
      </c>
      <c r="T13" s="281">
        <v>213</v>
      </c>
      <c r="U13" s="281">
        <v>57</v>
      </c>
      <c r="V13" s="280">
        <v>157</v>
      </c>
      <c r="W13" s="138">
        <v>241</v>
      </c>
      <c r="X13" s="139">
        <v>83</v>
      </c>
      <c r="Y13" s="139">
        <v>906</v>
      </c>
      <c r="Z13" s="139">
        <v>187</v>
      </c>
      <c r="AA13" s="137">
        <v>137</v>
      </c>
      <c r="AB13" s="278">
        <v>383</v>
      </c>
      <c r="AC13" s="281">
        <v>271</v>
      </c>
      <c r="AD13" s="281">
        <v>1504</v>
      </c>
      <c r="AE13" s="281">
        <v>275</v>
      </c>
      <c r="AF13" s="280">
        <v>379</v>
      </c>
    </row>
    <row r="14" spans="1:32" ht="14.15" customHeight="1" x14ac:dyDescent="0.3">
      <c r="A14" s="141" t="s">
        <v>10</v>
      </c>
      <c r="B14" s="140">
        <v>44926</v>
      </c>
      <c r="C14" s="278">
        <v>317</v>
      </c>
      <c r="D14" s="279">
        <v>164</v>
      </c>
      <c r="E14" s="279">
        <v>1227</v>
      </c>
      <c r="F14" s="136">
        <v>237</v>
      </c>
      <c r="G14" s="137">
        <v>244</v>
      </c>
      <c r="H14" s="138">
        <v>55</v>
      </c>
      <c r="I14" s="139">
        <v>29</v>
      </c>
      <c r="J14" s="136"/>
      <c r="K14" s="136">
        <v>44</v>
      </c>
      <c r="L14" s="136">
        <v>40</v>
      </c>
      <c r="M14" s="138">
        <v>115</v>
      </c>
      <c r="N14" s="139">
        <v>39</v>
      </c>
      <c r="O14" s="136">
        <v>69</v>
      </c>
      <c r="P14" s="136">
        <v>82</v>
      </c>
      <c r="Q14" s="137">
        <v>72</v>
      </c>
      <c r="R14" s="278">
        <v>63</v>
      </c>
      <c r="S14" s="281">
        <v>72</v>
      </c>
      <c r="T14" s="281">
        <v>202</v>
      </c>
      <c r="U14" s="281">
        <v>45</v>
      </c>
      <c r="V14" s="280">
        <v>90</v>
      </c>
      <c r="W14" s="138">
        <v>239</v>
      </c>
      <c r="X14" s="139">
        <v>72</v>
      </c>
      <c r="Y14" s="136">
        <v>717</v>
      </c>
      <c r="Z14" s="136">
        <v>172</v>
      </c>
      <c r="AA14" s="137">
        <v>139</v>
      </c>
      <c r="AB14" s="278">
        <v>348</v>
      </c>
      <c r="AC14" s="281">
        <v>195</v>
      </c>
      <c r="AD14" s="279">
        <v>1243</v>
      </c>
      <c r="AE14" s="279">
        <v>257</v>
      </c>
      <c r="AF14" s="280">
        <v>286</v>
      </c>
    </row>
    <row r="15" spans="1:32" ht="14.15" customHeight="1" x14ac:dyDescent="0.3">
      <c r="A15" s="141" t="s">
        <v>11</v>
      </c>
      <c r="B15" s="140">
        <v>44926</v>
      </c>
      <c r="C15" s="278">
        <v>480</v>
      </c>
      <c r="D15" s="279">
        <v>354</v>
      </c>
      <c r="E15" s="279">
        <v>1714</v>
      </c>
      <c r="F15" s="136">
        <v>374</v>
      </c>
      <c r="G15" s="137">
        <v>460</v>
      </c>
      <c r="H15" s="138">
        <v>93</v>
      </c>
      <c r="I15" s="139">
        <v>29</v>
      </c>
      <c r="J15" s="136"/>
      <c r="K15" s="136">
        <v>64</v>
      </c>
      <c r="L15" s="136">
        <v>58</v>
      </c>
      <c r="M15" s="138">
        <v>256</v>
      </c>
      <c r="N15" s="139">
        <v>53</v>
      </c>
      <c r="O15" s="136">
        <v>118</v>
      </c>
      <c r="P15" s="136">
        <v>148</v>
      </c>
      <c r="Q15" s="137">
        <v>161</v>
      </c>
      <c r="R15" s="278">
        <v>101</v>
      </c>
      <c r="S15" s="281">
        <v>170</v>
      </c>
      <c r="T15" s="279">
        <v>315</v>
      </c>
      <c r="U15" s="279">
        <v>65</v>
      </c>
      <c r="V15" s="280">
        <v>206</v>
      </c>
      <c r="W15" s="138">
        <v>359</v>
      </c>
      <c r="X15" s="139">
        <v>161</v>
      </c>
      <c r="Y15" s="136">
        <v>1014</v>
      </c>
      <c r="Z15" s="136">
        <v>289</v>
      </c>
      <c r="AA15" s="137">
        <v>231</v>
      </c>
      <c r="AB15" s="278">
        <v>547</v>
      </c>
      <c r="AC15" s="281">
        <v>411</v>
      </c>
      <c r="AD15" s="279">
        <v>1742</v>
      </c>
      <c r="AE15" s="279">
        <v>419</v>
      </c>
      <c r="AF15" s="280">
        <v>539</v>
      </c>
    </row>
    <row r="16" spans="1:32" ht="14.15" customHeight="1" x14ac:dyDescent="0.3">
      <c r="A16" s="141" t="s">
        <v>12</v>
      </c>
      <c r="B16" s="140">
        <v>44926</v>
      </c>
      <c r="C16" s="278">
        <v>1060</v>
      </c>
      <c r="D16" s="279">
        <v>707</v>
      </c>
      <c r="E16" s="279">
        <v>2940</v>
      </c>
      <c r="F16" s="136">
        <v>827</v>
      </c>
      <c r="G16" s="137">
        <v>940</v>
      </c>
      <c r="H16" s="138">
        <v>143</v>
      </c>
      <c r="I16" s="139">
        <v>73</v>
      </c>
      <c r="J16" s="136"/>
      <c r="K16" s="136">
        <v>101</v>
      </c>
      <c r="L16" s="136">
        <v>115</v>
      </c>
      <c r="M16" s="138">
        <v>412</v>
      </c>
      <c r="N16" s="139">
        <v>141</v>
      </c>
      <c r="O16" s="136">
        <v>197</v>
      </c>
      <c r="P16" s="136">
        <v>265</v>
      </c>
      <c r="Q16" s="137">
        <v>288</v>
      </c>
      <c r="R16" s="278">
        <v>184</v>
      </c>
      <c r="S16" s="281">
        <v>269</v>
      </c>
      <c r="T16" s="279">
        <v>402</v>
      </c>
      <c r="U16" s="279">
        <v>142</v>
      </c>
      <c r="V16" s="280">
        <v>311</v>
      </c>
      <c r="W16" s="138">
        <v>832</v>
      </c>
      <c r="X16" s="139">
        <v>381</v>
      </c>
      <c r="Y16" s="136">
        <v>1740</v>
      </c>
      <c r="Z16" s="136">
        <v>633</v>
      </c>
      <c r="AA16" s="137">
        <v>580</v>
      </c>
      <c r="AB16" s="278">
        <v>1190</v>
      </c>
      <c r="AC16" s="281">
        <v>825</v>
      </c>
      <c r="AD16" s="279">
        <v>2985</v>
      </c>
      <c r="AE16" s="279">
        <v>915</v>
      </c>
      <c r="AF16" s="280">
        <v>1100</v>
      </c>
    </row>
    <row r="17" spans="1:32" ht="14.15" customHeight="1" x14ac:dyDescent="0.3">
      <c r="A17" s="141" t="s">
        <v>3</v>
      </c>
      <c r="B17" s="140">
        <v>44926</v>
      </c>
      <c r="C17" s="278">
        <v>75</v>
      </c>
      <c r="D17" s="279">
        <v>75</v>
      </c>
      <c r="E17" s="279">
        <v>213</v>
      </c>
      <c r="F17" s="136">
        <v>57</v>
      </c>
      <c r="G17" s="137">
        <v>93</v>
      </c>
      <c r="H17" s="138">
        <v>11</v>
      </c>
      <c r="I17" s="139">
        <v>9</v>
      </c>
      <c r="J17" s="136"/>
      <c r="K17" s="136">
        <v>10</v>
      </c>
      <c r="L17" s="136">
        <v>10</v>
      </c>
      <c r="M17" s="138">
        <v>30</v>
      </c>
      <c r="N17" s="139">
        <v>12</v>
      </c>
      <c r="O17" s="136">
        <v>21</v>
      </c>
      <c r="P17" s="136">
        <v>21</v>
      </c>
      <c r="Q17" s="137">
        <v>21</v>
      </c>
      <c r="R17" s="278">
        <v>10</v>
      </c>
      <c r="S17" s="281">
        <v>41</v>
      </c>
      <c r="T17" s="279">
        <v>35</v>
      </c>
      <c r="U17" s="279">
        <v>9</v>
      </c>
      <c r="V17" s="280">
        <v>42</v>
      </c>
      <c r="W17" s="138">
        <v>63</v>
      </c>
      <c r="X17" s="139">
        <v>33</v>
      </c>
      <c r="Y17" s="136">
        <v>131</v>
      </c>
      <c r="Z17" s="136">
        <v>46</v>
      </c>
      <c r="AA17" s="137">
        <v>50</v>
      </c>
      <c r="AB17" s="278">
        <v>85</v>
      </c>
      <c r="AC17" s="281">
        <v>79</v>
      </c>
      <c r="AD17" s="279">
        <v>214</v>
      </c>
      <c r="AE17" s="279">
        <v>63</v>
      </c>
      <c r="AF17" s="280">
        <v>101</v>
      </c>
    </row>
    <row r="18" spans="1:32" ht="14.15" customHeight="1" x14ac:dyDescent="0.3">
      <c r="A18" s="141" t="s">
        <v>13</v>
      </c>
      <c r="B18" s="140">
        <v>44926</v>
      </c>
      <c r="C18" s="278">
        <v>396</v>
      </c>
      <c r="D18" s="279">
        <v>241</v>
      </c>
      <c r="E18" s="279">
        <v>922</v>
      </c>
      <c r="F18" s="136">
        <v>256</v>
      </c>
      <c r="G18" s="137">
        <v>381</v>
      </c>
      <c r="H18" s="138">
        <v>52</v>
      </c>
      <c r="I18" s="139">
        <v>17</v>
      </c>
      <c r="J18" s="136"/>
      <c r="K18" s="136">
        <v>34</v>
      </c>
      <c r="L18" s="136">
        <v>35</v>
      </c>
      <c r="M18" s="138">
        <v>145</v>
      </c>
      <c r="N18" s="139">
        <v>29</v>
      </c>
      <c r="O18" s="136">
        <v>89</v>
      </c>
      <c r="P18" s="136">
        <v>90</v>
      </c>
      <c r="Q18" s="137">
        <v>84</v>
      </c>
      <c r="R18" s="278">
        <v>72</v>
      </c>
      <c r="S18" s="281">
        <v>128</v>
      </c>
      <c r="T18" s="279">
        <v>129</v>
      </c>
      <c r="U18" s="279">
        <v>47</v>
      </c>
      <c r="V18" s="280">
        <v>153</v>
      </c>
      <c r="W18" s="138">
        <v>309</v>
      </c>
      <c r="X18" s="139">
        <v>103</v>
      </c>
      <c r="Y18" s="136">
        <v>575</v>
      </c>
      <c r="Z18" s="136">
        <v>197</v>
      </c>
      <c r="AA18" s="137">
        <v>215</v>
      </c>
      <c r="AB18" s="278">
        <v>449</v>
      </c>
      <c r="AC18" s="281">
        <v>289</v>
      </c>
      <c r="AD18" s="279">
        <v>933</v>
      </c>
      <c r="AE18" s="279">
        <v>288</v>
      </c>
      <c r="AF18" s="280">
        <v>450</v>
      </c>
    </row>
    <row r="19" spans="1:32" ht="14.15" customHeight="1" x14ac:dyDescent="0.3">
      <c r="A19" s="141" t="s">
        <v>14</v>
      </c>
      <c r="B19" s="140">
        <v>44926</v>
      </c>
      <c r="C19" s="278">
        <v>198</v>
      </c>
      <c r="D19" s="279">
        <v>114</v>
      </c>
      <c r="E19" s="279">
        <v>390</v>
      </c>
      <c r="F19" s="136">
        <v>142</v>
      </c>
      <c r="G19" s="137">
        <v>170</v>
      </c>
      <c r="H19" s="138">
        <v>30</v>
      </c>
      <c r="I19" s="139">
        <v>6</v>
      </c>
      <c r="J19" s="136"/>
      <c r="K19" s="136">
        <v>19</v>
      </c>
      <c r="L19" s="136">
        <v>17</v>
      </c>
      <c r="M19" s="138">
        <v>93</v>
      </c>
      <c r="N19" s="139">
        <v>15</v>
      </c>
      <c r="O19" s="136">
        <v>25</v>
      </c>
      <c r="P19" s="136">
        <v>50</v>
      </c>
      <c r="Q19" s="137">
        <v>58</v>
      </c>
      <c r="R19" s="278">
        <v>28</v>
      </c>
      <c r="S19" s="281">
        <v>59</v>
      </c>
      <c r="T19" s="279">
        <v>55</v>
      </c>
      <c r="U19" s="279">
        <v>21</v>
      </c>
      <c r="V19" s="280">
        <v>66</v>
      </c>
      <c r="W19" s="138">
        <v>166</v>
      </c>
      <c r="X19" s="139">
        <v>50</v>
      </c>
      <c r="Y19" s="136">
        <v>234</v>
      </c>
      <c r="Z19" s="136">
        <v>115</v>
      </c>
      <c r="AA19" s="137">
        <v>101</v>
      </c>
      <c r="AB19" s="278">
        <v>229</v>
      </c>
      <c r="AC19" s="281">
        <v>129</v>
      </c>
      <c r="AD19" s="279">
        <v>399</v>
      </c>
      <c r="AE19" s="279">
        <v>158</v>
      </c>
      <c r="AF19" s="280">
        <v>200</v>
      </c>
    </row>
    <row r="20" spans="1:32" ht="14.15" customHeight="1" x14ac:dyDescent="0.3">
      <c r="A20" s="141" t="s">
        <v>15</v>
      </c>
      <c r="B20" s="140">
        <v>44926</v>
      </c>
      <c r="C20" s="278">
        <v>754</v>
      </c>
      <c r="D20" s="279">
        <v>516</v>
      </c>
      <c r="E20" s="279">
        <v>2137</v>
      </c>
      <c r="F20" s="136">
        <v>533</v>
      </c>
      <c r="G20" s="137">
        <v>737</v>
      </c>
      <c r="H20" s="138">
        <v>133</v>
      </c>
      <c r="I20" s="139">
        <v>60</v>
      </c>
      <c r="J20" s="136"/>
      <c r="K20" s="136">
        <v>91</v>
      </c>
      <c r="L20" s="136">
        <v>102</v>
      </c>
      <c r="M20" s="138">
        <v>320</v>
      </c>
      <c r="N20" s="139">
        <v>103</v>
      </c>
      <c r="O20" s="136">
        <v>143</v>
      </c>
      <c r="P20" s="136">
        <v>194</v>
      </c>
      <c r="Q20" s="137">
        <v>229</v>
      </c>
      <c r="R20" s="278">
        <v>128</v>
      </c>
      <c r="S20" s="281">
        <v>261</v>
      </c>
      <c r="T20" s="279">
        <v>357</v>
      </c>
      <c r="U20" s="279">
        <v>105</v>
      </c>
      <c r="V20" s="280">
        <v>284</v>
      </c>
      <c r="W20" s="138">
        <v>605</v>
      </c>
      <c r="X20" s="139">
        <v>233</v>
      </c>
      <c r="Y20" s="136">
        <v>1344</v>
      </c>
      <c r="Z20" s="136">
        <v>407</v>
      </c>
      <c r="AA20" s="137">
        <v>431</v>
      </c>
      <c r="AB20" s="278">
        <v>851</v>
      </c>
      <c r="AC20" s="281">
        <v>600</v>
      </c>
      <c r="AD20" s="279">
        <v>2163</v>
      </c>
      <c r="AE20" s="279">
        <v>591</v>
      </c>
      <c r="AF20" s="280">
        <v>860</v>
      </c>
    </row>
    <row r="21" spans="1:32" ht="14.15" customHeight="1" x14ac:dyDescent="0.3">
      <c r="A21" s="141" t="s">
        <v>16</v>
      </c>
      <c r="B21" s="140">
        <v>44926</v>
      </c>
      <c r="C21" s="278">
        <v>296</v>
      </c>
      <c r="D21" s="279">
        <v>181</v>
      </c>
      <c r="E21" s="279">
        <v>871</v>
      </c>
      <c r="F21" s="136">
        <v>229</v>
      </c>
      <c r="G21" s="137">
        <v>248</v>
      </c>
      <c r="H21" s="138">
        <v>41</v>
      </c>
      <c r="I21" s="139">
        <v>28</v>
      </c>
      <c r="J21" s="136"/>
      <c r="K21" s="136">
        <v>36</v>
      </c>
      <c r="L21" s="136">
        <v>33</v>
      </c>
      <c r="M21" s="138">
        <v>169</v>
      </c>
      <c r="N21" s="139">
        <v>42</v>
      </c>
      <c r="O21" s="136">
        <v>52</v>
      </c>
      <c r="P21" s="136">
        <v>103</v>
      </c>
      <c r="Q21" s="137">
        <v>108</v>
      </c>
      <c r="R21" s="278">
        <v>61</v>
      </c>
      <c r="S21" s="281">
        <v>86</v>
      </c>
      <c r="T21" s="279">
        <v>132</v>
      </c>
      <c r="U21" s="279">
        <v>37</v>
      </c>
      <c r="V21" s="280">
        <v>110</v>
      </c>
      <c r="W21" s="138">
        <v>227</v>
      </c>
      <c r="X21" s="139">
        <v>81</v>
      </c>
      <c r="Y21" s="136">
        <v>565</v>
      </c>
      <c r="Z21" s="136">
        <v>180</v>
      </c>
      <c r="AA21" s="137">
        <v>128</v>
      </c>
      <c r="AB21" s="278">
        <v>340</v>
      </c>
      <c r="AC21" s="281">
        <v>217</v>
      </c>
      <c r="AD21" s="279">
        <v>890</v>
      </c>
      <c r="AE21" s="279">
        <v>257</v>
      </c>
      <c r="AF21" s="280">
        <v>300</v>
      </c>
    </row>
    <row r="22" spans="1:32" ht="14.15" customHeight="1" x14ac:dyDescent="0.3">
      <c r="A22" s="141" t="s">
        <v>17</v>
      </c>
      <c r="B22" s="140">
        <v>44926</v>
      </c>
      <c r="C22" s="278">
        <v>92</v>
      </c>
      <c r="D22" s="279">
        <v>71</v>
      </c>
      <c r="E22" s="279">
        <v>214</v>
      </c>
      <c r="F22" s="136">
        <v>67</v>
      </c>
      <c r="G22" s="137">
        <v>96</v>
      </c>
      <c r="H22" s="138">
        <v>16</v>
      </c>
      <c r="I22" s="139">
        <v>8</v>
      </c>
      <c r="J22" s="136"/>
      <c r="K22" s="136">
        <v>10</v>
      </c>
      <c r="L22" s="136">
        <v>14</v>
      </c>
      <c r="M22" s="138">
        <v>36</v>
      </c>
      <c r="N22" s="139">
        <v>9</v>
      </c>
      <c r="O22" s="136">
        <v>11</v>
      </c>
      <c r="P22" s="136">
        <v>17</v>
      </c>
      <c r="Q22" s="137">
        <v>28</v>
      </c>
      <c r="R22" s="278">
        <v>15</v>
      </c>
      <c r="S22" s="281">
        <v>39</v>
      </c>
      <c r="T22" s="279">
        <v>30</v>
      </c>
      <c r="U22" s="279">
        <v>15</v>
      </c>
      <c r="V22" s="280">
        <v>39</v>
      </c>
      <c r="W22" s="138">
        <v>73</v>
      </c>
      <c r="X22" s="139">
        <v>30</v>
      </c>
      <c r="Y22" s="136">
        <v>130</v>
      </c>
      <c r="Z22" s="136">
        <v>49</v>
      </c>
      <c r="AA22" s="137">
        <v>54</v>
      </c>
      <c r="AB22" s="278">
        <v>102</v>
      </c>
      <c r="AC22" s="281">
        <v>79</v>
      </c>
      <c r="AD22" s="279">
        <v>217</v>
      </c>
      <c r="AE22" s="279">
        <v>72</v>
      </c>
      <c r="AF22" s="280">
        <v>109</v>
      </c>
    </row>
    <row r="23" spans="1:32" ht="14.15" customHeight="1" x14ac:dyDescent="0.3">
      <c r="A23" s="141" t="s">
        <v>18</v>
      </c>
      <c r="B23" s="140">
        <v>44926</v>
      </c>
      <c r="C23" s="278">
        <v>32</v>
      </c>
      <c r="D23" s="279">
        <v>33</v>
      </c>
      <c r="E23" s="279">
        <v>174</v>
      </c>
      <c r="F23" s="136">
        <v>32</v>
      </c>
      <c r="G23" s="137">
        <v>33</v>
      </c>
      <c r="H23" s="138">
        <v>3</v>
      </c>
      <c r="I23" s="139">
        <v>3</v>
      </c>
      <c r="J23" s="136"/>
      <c r="K23" s="136">
        <v>5</v>
      </c>
      <c r="L23" s="136">
        <v>1</v>
      </c>
      <c r="M23" s="138">
        <v>28</v>
      </c>
      <c r="N23" s="139">
        <v>5</v>
      </c>
      <c r="O23" s="136">
        <v>19</v>
      </c>
      <c r="P23" s="136">
        <v>17</v>
      </c>
      <c r="Q23" s="137">
        <v>16</v>
      </c>
      <c r="R23" s="278">
        <v>3</v>
      </c>
      <c r="S23" s="281">
        <v>14</v>
      </c>
      <c r="T23" s="279">
        <v>33</v>
      </c>
      <c r="U23" s="279">
        <v>5</v>
      </c>
      <c r="V23" s="280">
        <v>12</v>
      </c>
      <c r="W23" s="138">
        <v>27</v>
      </c>
      <c r="X23" s="139">
        <v>17</v>
      </c>
      <c r="Y23" s="136">
        <v>110</v>
      </c>
      <c r="Z23" s="136">
        <v>24</v>
      </c>
      <c r="AA23" s="137">
        <v>20</v>
      </c>
      <c r="AB23" s="278">
        <v>37</v>
      </c>
      <c r="AC23" s="281">
        <v>34</v>
      </c>
      <c r="AD23" s="279">
        <v>177</v>
      </c>
      <c r="AE23" s="279">
        <v>35</v>
      </c>
      <c r="AF23" s="280">
        <v>36</v>
      </c>
    </row>
    <row r="24" spans="1:32" ht="14.15" customHeight="1" x14ac:dyDescent="0.3">
      <c r="A24" s="141" t="s">
        <v>19</v>
      </c>
      <c r="B24" s="140">
        <v>44926</v>
      </c>
      <c r="C24" s="278">
        <v>775</v>
      </c>
      <c r="D24" s="279">
        <v>589</v>
      </c>
      <c r="E24" s="279">
        <v>2709</v>
      </c>
      <c r="F24" s="136">
        <v>593</v>
      </c>
      <c r="G24" s="137">
        <v>771</v>
      </c>
      <c r="H24" s="138">
        <v>120</v>
      </c>
      <c r="I24" s="139">
        <v>54</v>
      </c>
      <c r="J24" s="136"/>
      <c r="K24" s="136">
        <v>88</v>
      </c>
      <c r="L24" s="136">
        <v>86</v>
      </c>
      <c r="M24" s="138">
        <v>349</v>
      </c>
      <c r="N24" s="139">
        <v>107</v>
      </c>
      <c r="O24" s="136">
        <v>187</v>
      </c>
      <c r="P24" s="136">
        <v>211</v>
      </c>
      <c r="Q24" s="137">
        <v>245</v>
      </c>
      <c r="R24" s="278">
        <v>133</v>
      </c>
      <c r="S24" s="281">
        <v>283</v>
      </c>
      <c r="T24" s="279">
        <v>460</v>
      </c>
      <c r="U24" s="279">
        <v>111</v>
      </c>
      <c r="V24" s="280">
        <v>305</v>
      </c>
      <c r="W24" s="138">
        <v>615</v>
      </c>
      <c r="X24" s="139">
        <v>280</v>
      </c>
      <c r="Y24" s="136">
        <v>1639</v>
      </c>
      <c r="Z24" s="136">
        <v>456</v>
      </c>
      <c r="AA24" s="137">
        <v>439</v>
      </c>
      <c r="AB24" s="278">
        <v>868</v>
      </c>
      <c r="AC24" s="281">
        <v>684</v>
      </c>
      <c r="AD24" s="279">
        <v>2758</v>
      </c>
      <c r="AE24" s="279">
        <v>665</v>
      </c>
      <c r="AF24" s="280">
        <v>887</v>
      </c>
    </row>
    <row r="25" spans="1:32" ht="14.15" customHeight="1" x14ac:dyDescent="0.3">
      <c r="A25" s="141" t="s">
        <v>20</v>
      </c>
      <c r="B25" s="140">
        <v>44926</v>
      </c>
      <c r="C25" s="278">
        <v>203</v>
      </c>
      <c r="D25" s="279">
        <v>137</v>
      </c>
      <c r="E25" s="279">
        <v>466</v>
      </c>
      <c r="F25" s="136">
        <v>151</v>
      </c>
      <c r="G25" s="137">
        <v>189</v>
      </c>
      <c r="H25" s="138">
        <v>30</v>
      </c>
      <c r="I25" s="139">
        <v>9</v>
      </c>
      <c r="J25" s="136"/>
      <c r="K25" s="136">
        <v>21</v>
      </c>
      <c r="L25" s="136">
        <v>18</v>
      </c>
      <c r="M25" s="138">
        <v>70</v>
      </c>
      <c r="N25" s="139">
        <v>12</v>
      </c>
      <c r="O25" s="136">
        <v>31</v>
      </c>
      <c r="P25" s="136">
        <v>40</v>
      </c>
      <c r="Q25" s="137">
        <v>42</v>
      </c>
      <c r="R25" s="278">
        <v>52</v>
      </c>
      <c r="S25" s="281">
        <v>72</v>
      </c>
      <c r="T25" s="279">
        <v>61</v>
      </c>
      <c r="U25" s="279">
        <v>39</v>
      </c>
      <c r="V25" s="280">
        <v>85</v>
      </c>
      <c r="W25" s="138">
        <v>143</v>
      </c>
      <c r="X25" s="139">
        <v>56</v>
      </c>
      <c r="Y25" s="136">
        <v>293</v>
      </c>
      <c r="Z25" s="136">
        <v>101</v>
      </c>
      <c r="AA25" s="137">
        <v>98</v>
      </c>
      <c r="AB25" s="278">
        <v>227</v>
      </c>
      <c r="AC25" s="281">
        <v>149</v>
      </c>
      <c r="AD25" s="279">
        <v>473</v>
      </c>
      <c r="AE25" s="279">
        <v>163</v>
      </c>
      <c r="AF25" s="280">
        <v>213</v>
      </c>
    </row>
    <row r="26" spans="1:32" ht="14.15" customHeight="1" x14ac:dyDescent="0.3">
      <c r="A26" s="141" t="s">
        <v>21</v>
      </c>
      <c r="B26" s="140">
        <v>44926</v>
      </c>
      <c r="C26" s="278">
        <v>504</v>
      </c>
      <c r="D26" s="279">
        <v>318</v>
      </c>
      <c r="E26" s="279">
        <v>1397</v>
      </c>
      <c r="F26" s="136">
        <v>370</v>
      </c>
      <c r="G26" s="137">
        <v>452</v>
      </c>
      <c r="H26" s="138">
        <v>95</v>
      </c>
      <c r="I26" s="139">
        <v>21</v>
      </c>
      <c r="J26" s="136"/>
      <c r="K26" s="136">
        <v>62</v>
      </c>
      <c r="L26" s="136">
        <v>54</v>
      </c>
      <c r="M26" s="138">
        <v>258</v>
      </c>
      <c r="N26" s="139">
        <v>60</v>
      </c>
      <c r="O26" s="136">
        <v>94</v>
      </c>
      <c r="P26" s="136">
        <v>165</v>
      </c>
      <c r="Q26" s="137">
        <v>153</v>
      </c>
      <c r="R26" s="278">
        <v>102</v>
      </c>
      <c r="S26" s="281">
        <v>161</v>
      </c>
      <c r="T26" s="279">
        <v>216</v>
      </c>
      <c r="U26" s="279">
        <v>76</v>
      </c>
      <c r="V26" s="280">
        <v>187</v>
      </c>
      <c r="W26" s="138">
        <v>383</v>
      </c>
      <c r="X26" s="139">
        <v>147</v>
      </c>
      <c r="Y26" s="136">
        <v>865</v>
      </c>
      <c r="Z26" s="136">
        <v>279</v>
      </c>
      <c r="AA26" s="137">
        <v>251</v>
      </c>
      <c r="AB26" s="278">
        <v>586</v>
      </c>
      <c r="AC26" s="281">
        <v>365</v>
      </c>
      <c r="AD26" s="279">
        <v>1420</v>
      </c>
      <c r="AE26" s="279">
        <v>418</v>
      </c>
      <c r="AF26" s="280">
        <v>533</v>
      </c>
    </row>
    <row r="27" spans="1:32" ht="14.15" customHeight="1" x14ac:dyDescent="0.3">
      <c r="A27" s="141" t="s">
        <v>22</v>
      </c>
      <c r="B27" s="140">
        <v>44926</v>
      </c>
      <c r="C27" s="278">
        <v>375</v>
      </c>
      <c r="D27" s="279">
        <v>269</v>
      </c>
      <c r="E27" s="279">
        <v>824</v>
      </c>
      <c r="F27" s="136">
        <v>262</v>
      </c>
      <c r="G27" s="137">
        <v>382</v>
      </c>
      <c r="H27" s="138">
        <v>50</v>
      </c>
      <c r="I27" s="139">
        <v>26</v>
      </c>
      <c r="J27" s="136"/>
      <c r="K27" s="136">
        <v>36</v>
      </c>
      <c r="L27" s="136">
        <v>40</v>
      </c>
      <c r="M27" s="138">
        <v>112</v>
      </c>
      <c r="N27" s="139">
        <v>49</v>
      </c>
      <c r="O27" s="136">
        <v>60</v>
      </c>
      <c r="P27" s="136">
        <v>74</v>
      </c>
      <c r="Q27" s="137">
        <v>87</v>
      </c>
      <c r="R27" s="278">
        <v>76</v>
      </c>
      <c r="S27" s="281">
        <v>163</v>
      </c>
      <c r="T27" s="279">
        <v>121</v>
      </c>
      <c r="U27" s="279">
        <v>54</v>
      </c>
      <c r="V27" s="280">
        <v>185</v>
      </c>
      <c r="W27" s="138">
        <v>290</v>
      </c>
      <c r="X27" s="139">
        <v>98</v>
      </c>
      <c r="Y27" s="136">
        <v>466</v>
      </c>
      <c r="Z27" s="136">
        <v>202</v>
      </c>
      <c r="AA27" s="137">
        <v>186</v>
      </c>
      <c r="AB27" s="278">
        <v>424</v>
      </c>
      <c r="AC27" s="281">
        <v>319</v>
      </c>
      <c r="AD27" s="279">
        <v>833</v>
      </c>
      <c r="AE27" s="279">
        <v>297</v>
      </c>
      <c r="AF27" s="280">
        <v>446</v>
      </c>
    </row>
    <row r="28" spans="1:32" ht="14.15" customHeight="1" x14ac:dyDescent="0.3">
      <c r="A28" s="141" t="s">
        <v>23</v>
      </c>
      <c r="B28" s="140">
        <v>44926</v>
      </c>
      <c r="C28" s="278">
        <v>241</v>
      </c>
      <c r="D28" s="279">
        <v>228</v>
      </c>
      <c r="E28" s="279">
        <v>1239</v>
      </c>
      <c r="F28" s="136">
        <v>177</v>
      </c>
      <c r="G28" s="137">
        <v>292</v>
      </c>
      <c r="H28" s="138">
        <v>46</v>
      </c>
      <c r="I28" s="139">
        <v>34</v>
      </c>
      <c r="J28" s="136"/>
      <c r="K28" s="136">
        <v>33</v>
      </c>
      <c r="L28" s="136">
        <v>47</v>
      </c>
      <c r="M28" s="138">
        <v>82</v>
      </c>
      <c r="N28" s="139">
        <v>35</v>
      </c>
      <c r="O28" s="136">
        <v>98</v>
      </c>
      <c r="P28" s="136">
        <v>56</v>
      </c>
      <c r="Q28" s="137">
        <v>61</v>
      </c>
      <c r="R28" s="278">
        <v>47</v>
      </c>
      <c r="S28" s="281">
        <v>119</v>
      </c>
      <c r="T28" s="279">
        <v>171</v>
      </c>
      <c r="U28" s="279">
        <v>30</v>
      </c>
      <c r="V28" s="280">
        <v>136</v>
      </c>
      <c r="W28" s="138">
        <v>182</v>
      </c>
      <c r="X28" s="139">
        <v>103</v>
      </c>
      <c r="Y28" s="136">
        <v>782</v>
      </c>
      <c r="Z28" s="136">
        <v>140</v>
      </c>
      <c r="AA28" s="137">
        <v>145</v>
      </c>
      <c r="AB28" s="278">
        <v>259</v>
      </c>
      <c r="AC28" s="281">
        <v>270</v>
      </c>
      <c r="AD28" s="279">
        <v>1279</v>
      </c>
      <c r="AE28" s="279">
        <v>196</v>
      </c>
      <c r="AF28" s="280">
        <v>333</v>
      </c>
    </row>
    <row r="29" spans="1:32" ht="14.15" customHeight="1" x14ac:dyDescent="0.3">
      <c r="A29" s="141" t="s">
        <v>24</v>
      </c>
      <c r="B29" s="140">
        <v>44926</v>
      </c>
      <c r="C29" s="278">
        <v>397</v>
      </c>
      <c r="D29" s="279">
        <v>289</v>
      </c>
      <c r="E29" s="279">
        <v>1897</v>
      </c>
      <c r="F29" s="136">
        <v>299</v>
      </c>
      <c r="G29" s="137">
        <v>387</v>
      </c>
      <c r="H29" s="138">
        <v>81</v>
      </c>
      <c r="I29" s="139">
        <v>49</v>
      </c>
      <c r="J29" s="136"/>
      <c r="K29" s="136">
        <v>64</v>
      </c>
      <c r="L29" s="136">
        <v>66</v>
      </c>
      <c r="M29" s="138">
        <v>138</v>
      </c>
      <c r="N29" s="139">
        <v>51</v>
      </c>
      <c r="O29" s="136">
        <v>157</v>
      </c>
      <c r="P29" s="136">
        <v>98</v>
      </c>
      <c r="Q29" s="137">
        <v>91</v>
      </c>
      <c r="R29" s="278">
        <v>75</v>
      </c>
      <c r="S29" s="281">
        <v>147</v>
      </c>
      <c r="T29" s="279">
        <v>257</v>
      </c>
      <c r="U29" s="279">
        <v>56</v>
      </c>
      <c r="V29" s="280">
        <v>166</v>
      </c>
      <c r="W29" s="138">
        <v>306</v>
      </c>
      <c r="X29" s="139">
        <v>128</v>
      </c>
      <c r="Y29" s="136">
        <v>1115</v>
      </c>
      <c r="Z29" s="136">
        <v>231</v>
      </c>
      <c r="AA29" s="137">
        <v>203</v>
      </c>
      <c r="AB29" s="278">
        <v>462</v>
      </c>
      <c r="AC29" s="281">
        <v>336</v>
      </c>
      <c r="AD29" s="279">
        <v>1922</v>
      </c>
      <c r="AE29" s="279">
        <v>337</v>
      </c>
      <c r="AF29" s="280">
        <v>461</v>
      </c>
    </row>
    <row r="30" spans="1:32" ht="14.15" customHeight="1" x14ac:dyDescent="0.3">
      <c r="A30" s="141" t="s">
        <v>25</v>
      </c>
      <c r="B30" s="140">
        <v>44926</v>
      </c>
      <c r="C30" s="278">
        <v>74</v>
      </c>
      <c r="D30" s="279">
        <v>61</v>
      </c>
      <c r="E30" s="279">
        <v>186</v>
      </c>
      <c r="F30" s="136">
        <v>47</v>
      </c>
      <c r="G30" s="137">
        <v>88</v>
      </c>
      <c r="H30" s="138">
        <v>12</v>
      </c>
      <c r="I30" s="139">
        <v>5</v>
      </c>
      <c r="J30" s="136"/>
      <c r="K30" s="136">
        <v>8</v>
      </c>
      <c r="L30" s="136">
        <v>9</v>
      </c>
      <c r="M30" s="138">
        <v>32</v>
      </c>
      <c r="N30" s="139">
        <v>11</v>
      </c>
      <c r="O30" s="136">
        <v>15</v>
      </c>
      <c r="P30" s="136">
        <v>20</v>
      </c>
      <c r="Q30" s="137">
        <v>23</v>
      </c>
      <c r="R30" s="278">
        <v>12</v>
      </c>
      <c r="S30" s="281">
        <v>37</v>
      </c>
      <c r="T30" s="279">
        <v>26</v>
      </c>
      <c r="U30" s="279">
        <v>10</v>
      </c>
      <c r="V30" s="280">
        <v>39</v>
      </c>
      <c r="W30" s="138">
        <v>60</v>
      </c>
      <c r="X30" s="139">
        <v>23</v>
      </c>
      <c r="Y30" s="136">
        <v>116</v>
      </c>
      <c r="Z30" s="136">
        <v>36</v>
      </c>
      <c r="AA30" s="137">
        <v>47</v>
      </c>
      <c r="AB30" s="278">
        <v>85</v>
      </c>
      <c r="AC30" s="281">
        <v>68</v>
      </c>
      <c r="AD30" s="279">
        <v>186</v>
      </c>
      <c r="AE30" s="279">
        <v>56</v>
      </c>
      <c r="AF30" s="280">
        <v>97</v>
      </c>
    </row>
    <row r="31" spans="1:32" ht="14.15" customHeight="1" x14ac:dyDescent="0.3">
      <c r="A31" s="141" t="s">
        <v>26</v>
      </c>
      <c r="B31" s="140">
        <v>44926</v>
      </c>
      <c r="C31" s="278">
        <v>1404</v>
      </c>
      <c r="D31" s="279">
        <v>922</v>
      </c>
      <c r="E31" s="279">
        <v>4229</v>
      </c>
      <c r="F31" s="136">
        <v>1072</v>
      </c>
      <c r="G31" s="137">
        <v>1254</v>
      </c>
      <c r="H31" s="138">
        <v>185</v>
      </c>
      <c r="I31" s="139">
        <v>93</v>
      </c>
      <c r="J31" s="136"/>
      <c r="K31" s="136">
        <v>155</v>
      </c>
      <c r="L31" s="136">
        <v>123</v>
      </c>
      <c r="M31" s="138">
        <v>626</v>
      </c>
      <c r="N31" s="139">
        <v>240</v>
      </c>
      <c r="O31" s="136">
        <v>325</v>
      </c>
      <c r="P31" s="136">
        <v>426</v>
      </c>
      <c r="Q31" s="137">
        <v>440</v>
      </c>
      <c r="R31" s="278">
        <v>251</v>
      </c>
      <c r="S31" s="281">
        <v>415</v>
      </c>
      <c r="T31" s="279">
        <v>664</v>
      </c>
      <c r="U31" s="279">
        <v>189</v>
      </c>
      <c r="V31" s="280">
        <v>477</v>
      </c>
      <c r="W31" s="138">
        <v>1116</v>
      </c>
      <c r="X31" s="139">
        <v>466</v>
      </c>
      <c r="Y31" s="136">
        <v>2510</v>
      </c>
      <c r="Z31" s="136">
        <v>845</v>
      </c>
      <c r="AA31" s="137">
        <v>737</v>
      </c>
      <c r="AB31" s="278">
        <v>1599</v>
      </c>
      <c r="AC31" s="281">
        <v>1042</v>
      </c>
      <c r="AD31" s="279">
        <v>4299</v>
      </c>
      <c r="AE31" s="279">
        <v>1201</v>
      </c>
      <c r="AF31" s="280">
        <v>1440</v>
      </c>
    </row>
    <row r="32" spans="1:32" ht="14.15" customHeight="1" x14ac:dyDescent="0.3">
      <c r="A32" s="141" t="s">
        <v>27</v>
      </c>
      <c r="B32" s="140">
        <v>44926</v>
      </c>
      <c r="C32" s="278">
        <v>546</v>
      </c>
      <c r="D32" s="279">
        <v>444</v>
      </c>
      <c r="E32" s="279">
        <v>1505</v>
      </c>
      <c r="F32" s="136">
        <v>484</v>
      </c>
      <c r="G32" s="137">
        <v>506</v>
      </c>
      <c r="H32" s="138">
        <v>71</v>
      </c>
      <c r="I32" s="139">
        <v>51</v>
      </c>
      <c r="J32" s="136"/>
      <c r="K32" s="136">
        <v>58</v>
      </c>
      <c r="L32" s="136">
        <v>64</v>
      </c>
      <c r="M32" s="138">
        <v>218</v>
      </c>
      <c r="N32" s="139">
        <v>105</v>
      </c>
      <c r="O32" s="136">
        <v>107</v>
      </c>
      <c r="P32" s="136">
        <v>166</v>
      </c>
      <c r="Q32" s="137">
        <v>157</v>
      </c>
      <c r="R32" s="278">
        <v>82</v>
      </c>
      <c r="S32" s="281">
        <v>178</v>
      </c>
      <c r="T32" s="279">
        <v>198</v>
      </c>
      <c r="U32" s="279">
        <v>84</v>
      </c>
      <c r="V32" s="280">
        <v>176</v>
      </c>
      <c r="W32" s="138">
        <v>447</v>
      </c>
      <c r="X32" s="139">
        <v>242</v>
      </c>
      <c r="Y32" s="136">
        <v>995</v>
      </c>
      <c r="Z32" s="136">
        <v>374</v>
      </c>
      <c r="AA32" s="137">
        <v>315</v>
      </c>
      <c r="AB32" s="278">
        <v>621</v>
      </c>
      <c r="AC32" s="281">
        <v>515</v>
      </c>
      <c r="AD32" s="279">
        <v>1529</v>
      </c>
      <c r="AE32" s="279">
        <v>525</v>
      </c>
      <c r="AF32" s="280">
        <v>611</v>
      </c>
    </row>
    <row r="33" spans="1:32" ht="14.15" customHeight="1" x14ac:dyDescent="0.3">
      <c r="A33" s="141" t="s">
        <v>28</v>
      </c>
      <c r="B33" s="140">
        <v>44926</v>
      </c>
      <c r="C33" s="278">
        <v>223</v>
      </c>
      <c r="D33" s="279">
        <v>121</v>
      </c>
      <c r="E33" s="279">
        <v>652</v>
      </c>
      <c r="F33" s="136">
        <v>162</v>
      </c>
      <c r="G33" s="137">
        <v>182</v>
      </c>
      <c r="H33" s="138">
        <v>35</v>
      </c>
      <c r="I33" s="139">
        <v>14</v>
      </c>
      <c r="J33" s="136"/>
      <c r="K33" s="136">
        <v>24</v>
      </c>
      <c r="L33" s="136">
        <v>25</v>
      </c>
      <c r="M33" s="138">
        <v>102</v>
      </c>
      <c r="N33" s="139">
        <v>22</v>
      </c>
      <c r="O33" s="136">
        <v>42</v>
      </c>
      <c r="P33" s="136">
        <v>57</v>
      </c>
      <c r="Q33" s="137">
        <v>67</v>
      </c>
      <c r="R33" s="278">
        <v>45</v>
      </c>
      <c r="S33" s="281">
        <v>51</v>
      </c>
      <c r="T33" s="279">
        <v>81</v>
      </c>
      <c r="U33" s="279">
        <v>30</v>
      </c>
      <c r="V33" s="280">
        <v>66</v>
      </c>
      <c r="W33" s="138">
        <v>175</v>
      </c>
      <c r="X33" s="139">
        <v>68</v>
      </c>
      <c r="Y33" s="136">
        <v>378</v>
      </c>
      <c r="Z33" s="136">
        <v>130</v>
      </c>
      <c r="AA33" s="137">
        <v>113</v>
      </c>
      <c r="AB33" s="278">
        <v>250</v>
      </c>
      <c r="AC33" s="281">
        <v>130</v>
      </c>
      <c r="AD33" s="279">
        <v>660</v>
      </c>
      <c r="AE33" s="279">
        <v>174</v>
      </c>
      <c r="AF33" s="280">
        <v>206</v>
      </c>
    </row>
    <row r="34" spans="1:32" ht="14.15" customHeight="1" x14ac:dyDescent="0.3">
      <c r="A34" s="141" t="s">
        <v>29</v>
      </c>
      <c r="B34" s="140">
        <v>44926</v>
      </c>
      <c r="C34" s="278">
        <v>2342</v>
      </c>
      <c r="D34" s="279">
        <v>1550</v>
      </c>
      <c r="E34" s="279">
        <v>8267</v>
      </c>
      <c r="F34" s="136">
        <v>1671</v>
      </c>
      <c r="G34" s="137">
        <v>2221</v>
      </c>
      <c r="H34" s="138">
        <v>396</v>
      </c>
      <c r="I34" s="139">
        <v>144</v>
      </c>
      <c r="J34" s="136"/>
      <c r="K34" s="136">
        <v>268</v>
      </c>
      <c r="L34" s="136">
        <v>272</v>
      </c>
      <c r="M34" s="138">
        <v>924</v>
      </c>
      <c r="N34" s="139">
        <v>346</v>
      </c>
      <c r="O34" s="136">
        <v>467</v>
      </c>
      <c r="P34" s="136">
        <v>609</v>
      </c>
      <c r="Q34" s="137">
        <v>661</v>
      </c>
      <c r="R34" s="278">
        <v>403</v>
      </c>
      <c r="S34" s="281">
        <v>789</v>
      </c>
      <c r="T34" s="279">
        <v>1463</v>
      </c>
      <c r="U34" s="279">
        <v>284</v>
      </c>
      <c r="V34" s="280">
        <v>908</v>
      </c>
      <c r="W34" s="138">
        <v>1860</v>
      </c>
      <c r="X34" s="139">
        <v>652</v>
      </c>
      <c r="Y34" s="136">
        <v>4968</v>
      </c>
      <c r="Z34" s="136">
        <v>1292</v>
      </c>
      <c r="AA34" s="137">
        <v>1220</v>
      </c>
      <c r="AB34" s="278">
        <v>2592</v>
      </c>
      <c r="AC34" s="281">
        <v>1795</v>
      </c>
      <c r="AD34" s="279">
        <v>8378</v>
      </c>
      <c r="AE34" s="279">
        <v>1840</v>
      </c>
      <c r="AF34" s="280">
        <v>2547</v>
      </c>
    </row>
    <row r="35" spans="1:32" ht="14.15" customHeight="1" x14ac:dyDescent="0.3">
      <c r="AB35" s="182"/>
      <c r="AE35" s="182"/>
    </row>
    <row r="36" spans="1:32" s="122" customFormat="1" ht="14.15" hidden="1" customHeight="1" x14ac:dyDescent="0.3">
      <c r="A36" s="227" t="s">
        <v>40</v>
      </c>
      <c r="C36" s="227">
        <f>SUM(C8:D8)</f>
        <v>24208</v>
      </c>
      <c r="F36" s="227">
        <f>SUM(F8:G8)</f>
        <v>24208</v>
      </c>
      <c r="H36" s="227">
        <f>SUM(H8:I8)</f>
        <v>3323</v>
      </c>
      <c r="K36" s="227">
        <f>SUM(K8:L8)</f>
        <v>3323</v>
      </c>
      <c r="M36" s="227">
        <f>SUM(M8:N8)</f>
        <v>8011</v>
      </c>
      <c r="P36" s="227">
        <f>SUM(P8:Q8)</f>
        <v>8011</v>
      </c>
      <c r="R36" s="227">
        <f>SUM(R8:S8)</f>
        <v>7319</v>
      </c>
      <c r="U36" s="227">
        <f>SUM(U8:V8)</f>
        <v>7319</v>
      </c>
      <c r="W36" s="227">
        <f>SUM(W8:X8)</f>
        <v>15860</v>
      </c>
      <c r="Z36" s="227">
        <f>SUM(Z8:AA8)</f>
        <v>15860</v>
      </c>
      <c r="AB36" s="227">
        <f>SUM(AB8:AC8)</f>
        <v>27615</v>
      </c>
      <c r="AE36" s="227">
        <f>SUM(AE8:AF8)</f>
        <v>27615</v>
      </c>
    </row>
    <row r="37" spans="1:32" ht="14.15" customHeight="1" x14ac:dyDescent="0.3"/>
    <row r="38" spans="1:32" ht="14.15" customHeight="1" x14ac:dyDescent="0.3"/>
    <row r="39" spans="1:32" ht="14.15" customHeight="1" x14ac:dyDescent="0.3"/>
    <row r="40" spans="1:32" ht="14.15" customHeight="1" x14ac:dyDescent="0.3"/>
    <row r="41" spans="1:32" ht="14.15" customHeight="1" x14ac:dyDescent="0.3"/>
    <row r="42" spans="1:32" ht="14.15" customHeight="1" x14ac:dyDescent="0.3"/>
    <row r="43" spans="1:32" ht="14.15" customHeight="1" x14ac:dyDescent="0.3"/>
    <row r="44" spans="1:32" ht="14.15" customHeight="1" x14ac:dyDescent="0.3"/>
    <row r="45" spans="1:32" ht="14.15" customHeight="1" x14ac:dyDescent="0.3"/>
    <row r="46" spans="1:32" ht="14.15" customHeight="1" x14ac:dyDescent="0.3"/>
    <row r="47" spans="1:32" ht="14.15" customHeight="1" x14ac:dyDescent="0.3"/>
    <row r="48" spans="1:32" ht="14.15" customHeight="1" x14ac:dyDescent="0.3"/>
    <row r="49" ht="14.15" customHeight="1" x14ac:dyDescent="0.3"/>
    <row r="50" ht="14.15" customHeight="1" x14ac:dyDescent="0.3"/>
    <row r="51" ht="14.15" customHeight="1" x14ac:dyDescent="0.3"/>
    <row r="52" ht="14.15" customHeight="1" x14ac:dyDescent="0.3"/>
  </sheetData>
  <sheetProtection algorithmName="SHA-512" hashValue="eCT5QMkUTE+fLFCT2vxqTsWT/wWWHGMf7Wyx/YV5e5yWgpLQOk4JTxp2PRB3XggcQ7oPbglJwzH8WrYv0GqI8Q==" saltValue="dNRJWYxAJzgFXVQdvAvF0w==" spinCount="100000" sheet="1" selectLockedCells="1" selectUnlockedCells="1"/>
  <customSheetViews>
    <customSheetView guid="{168849A9-FED9-4458-942F-290616B3A25C}" scale="60" showPageBreaks="1" showGridLines="0" printArea="1" hiddenRows="1">
      <selection activeCell="K8" sqref="K8"/>
      <pageMargins left="0.70866141732283472" right="0.70866141732283472" top="1.3779527559055118" bottom="0.78740157480314965" header="0.31496062992125984" footer="0.31496062992125984"/>
      <pageSetup paperSize="8" scale="95" fitToWidth="0" orientation="landscape" horizontalDpi="90" verticalDpi="90" r:id="rId1"/>
      <headerFooter>
        <oddHeader>&amp;LKennzahlenraster KIP / IAS&amp;R&amp;G</oddHeader>
        <oddFooter>&amp;L&amp;A&amp;R&amp;P</oddFooter>
      </headerFooter>
    </customSheetView>
  </customSheetViews>
  <mergeCells count="16">
    <mergeCell ref="A1:Q1"/>
    <mergeCell ref="A3:Q3"/>
    <mergeCell ref="W6:AA6"/>
    <mergeCell ref="AB6:AF6"/>
    <mergeCell ref="A5:A7"/>
    <mergeCell ref="B5:B7"/>
    <mergeCell ref="C5:G5"/>
    <mergeCell ref="H5:L5"/>
    <mergeCell ref="M5:Q5"/>
    <mergeCell ref="R5:V5"/>
    <mergeCell ref="W5:AA5"/>
    <mergeCell ref="AB5:AF5"/>
    <mergeCell ref="M6:Q6"/>
    <mergeCell ref="R6:V6"/>
    <mergeCell ref="C6:G6"/>
    <mergeCell ref="H6:L6"/>
  </mergeCells>
  <pageMargins left="0.70866141732283472" right="0.70866141732283472" top="1.3779527559055118" bottom="0.78740157480314965" header="0.31496062992125984" footer="0.31496062992125984"/>
  <pageSetup paperSize="8" scale="95" fitToWidth="0" orientation="landscape" horizontalDpi="90" verticalDpi="90" r:id="rId2"/>
  <headerFooter>
    <oddHeader>&amp;LKennzahlenraster KIP / IAS&amp;R&amp;G</oddHeader>
    <oddFooter>&amp;L&amp;A&amp;R&amp;P</oddFooter>
  </headerFooter>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0">
    <tabColor theme="7" tint="0.59999389629810485"/>
  </sheetPr>
  <dimension ref="A1:AK52"/>
  <sheetViews>
    <sheetView showGridLines="0" zoomScaleNormal="100" workbookViewId="0">
      <selection activeCell="G28" sqref="G28"/>
    </sheetView>
  </sheetViews>
  <sheetFormatPr baseColWidth="10" defaultRowHeight="14" x14ac:dyDescent="0.3"/>
  <cols>
    <col min="3" max="14" width="13.08203125" customWidth="1"/>
    <col min="15" max="15" width="13.08203125" hidden="1" customWidth="1"/>
    <col min="16" max="37" width="13.08203125" customWidth="1"/>
  </cols>
  <sheetData>
    <row r="1" spans="1:37" ht="30" x14ac:dyDescent="0.3">
      <c r="A1" s="530" t="s">
        <v>216</v>
      </c>
      <c r="B1" s="530"/>
      <c r="C1" s="530"/>
      <c r="D1" s="530"/>
      <c r="E1" s="530"/>
      <c r="F1" s="530"/>
      <c r="G1" s="530"/>
      <c r="H1" s="530"/>
      <c r="I1" s="530"/>
      <c r="J1" s="530"/>
      <c r="K1" s="530"/>
      <c r="L1" s="530"/>
      <c r="M1" s="530"/>
      <c r="N1" s="530"/>
      <c r="O1" s="530"/>
      <c r="P1" s="530"/>
      <c r="Q1" s="530"/>
    </row>
    <row r="3" spans="1:37" ht="20.149999999999999" customHeight="1" x14ac:dyDescent="0.3">
      <c r="A3" s="531" t="s">
        <v>215</v>
      </c>
      <c r="B3" s="532"/>
      <c r="C3" s="532"/>
      <c r="D3" s="532"/>
      <c r="E3" s="532"/>
      <c r="F3" s="532"/>
      <c r="G3" s="532"/>
      <c r="H3" s="532"/>
      <c r="I3" s="532"/>
      <c r="J3" s="532"/>
      <c r="K3" s="532"/>
      <c r="L3" s="532"/>
      <c r="M3" s="532"/>
      <c r="N3" s="532"/>
      <c r="O3" s="532"/>
      <c r="P3" s="532"/>
      <c r="Q3" s="533"/>
    </row>
    <row r="4" spans="1:37" ht="14.5" thickBot="1" x14ac:dyDescent="0.35">
      <c r="A4" s="142"/>
      <c r="B4" s="142"/>
    </row>
    <row r="5" spans="1:37" ht="14.5" thickBot="1" x14ac:dyDescent="0.35">
      <c r="A5" s="537" t="s">
        <v>151</v>
      </c>
      <c r="B5" s="537" t="s">
        <v>213</v>
      </c>
      <c r="C5" s="543" t="s">
        <v>152</v>
      </c>
      <c r="D5" s="544"/>
      <c r="E5" s="544"/>
      <c r="F5" s="544"/>
      <c r="G5" s="545"/>
      <c r="H5" s="543" t="s">
        <v>153</v>
      </c>
      <c r="I5" s="544"/>
      <c r="J5" s="544"/>
      <c r="K5" s="544"/>
      <c r="L5" s="545"/>
      <c r="M5" s="543" t="s">
        <v>154</v>
      </c>
      <c r="N5" s="544"/>
      <c r="O5" s="544"/>
      <c r="P5" s="544"/>
      <c r="Q5" s="545"/>
      <c r="R5" s="543" t="s">
        <v>155</v>
      </c>
      <c r="S5" s="544"/>
      <c r="T5" s="544"/>
      <c r="U5" s="544"/>
      <c r="V5" s="545"/>
      <c r="W5" s="543" t="s">
        <v>158</v>
      </c>
      <c r="X5" s="544"/>
      <c r="Y5" s="544"/>
      <c r="Z5" s="544"/>
      <c r="AA5" s="545"/>
      <c r="AB5" s="543" t="s">
        <v>159</v>
      </c>
      <c r="AC5" s="544"/>
      <c r="AD5" s="544"/>
      <c r="AE5" s="544"/>
      <c r="AF5" s="545"/>
      <c r="AG5" s="543" t="s">
        <v>160</v>
      </c>
      <c r="AH5" s="544"/>
      <c r="AI5" s="544"/>
      <c r="AJ5" s="544"/>
      <c r="AK5" s="545"/>
    </row>
    <row r="6" spans="1:37" ht="59.15" customHeight="1" x14ac:dyDescent="0.3">
      <c r="A6" s="538"/>
      <c r="B6" s="538"/>
      <c r="C6" s="534" t="s">
        <v>170</v>
      </c>
      <c r="D6" s="535"/>
      <c r="E6" s="535"/>
      <c r="F6" s="535"/>
      <c r="G6" s="536"/>
      <c r="H6" s="534" t="s">
        <v>164</v>
      </c>
      <c r="I6" s="535"/>
      <c r="J6" s="535"/>
      <c r="K6" s="535"/>
      <c r="L6" s="536"/>
      <c r="M6" s="534" t="s">
        <v>165</v>
      </c>
      <c r="N6" s="535"/>
      <c r="O6" s="535"/>
      <c r="P6" s="535"/>
      <c r="Q6" s="536"/>
      <c r="R6" s="534" t="s">
        <v>166</v>
      </c>
      <c r="S6" s="535"/>
      <c r="T6" s="535"/>
      <c r="U6" s="535"/>
      <c r="V6" s="536"/>
      <c r="W6" s="534" t="s">
        <v>167</v>
      </c>
      <c r="X6" s="535"/>
      <c r="Y6" s="535"/>
      <c r="Z6" s="535"/>
      <c r="AA6" s="536"/>
      <c r="AB6" s="534" t="s">
        <v>168</v>
      </c>
      <c r="AC6" s="535"/>
      <c r="AD6" s="535"/>
      <c r="AE6" s="535"/>
      <c r="AF6" s="536"/>
      <c r="AG6" s="534" t="s">
        <v>169</v>
      </c>
      <c r="AH6" s="535"/>
      <c r="AI6" s="535"/>
      <c r="AJ6" s="535"/>
      <c r="AK6" s="536"/>
    </row>
    <row r="7" spans="1:37" ht="14.15" customHeight="1" thickBot="1" x14ac:dyDescent="0.35">
      <c r="A7" s="539"/>
      <c r="B7" s="539"/>
      <c r="C7" s="304" t="s">
        <v>156</v>
      </c>
      <c r="D7" s="185" t="s">
        <v>157</v>
      </c>
      <c r="E7" s="185" t="s">
        <v>162</v>
      </c>
      <c r="F7" s="185" t="s">
        <v>123</v>
      </c>
      <c r="G7" s="185" t="s">
        <v>124</v>
      </c>
      <c r="H7" s="186" t="s">
        <v>156</v>
      </c>
      <c r="I7" s="185" t="s">
        <v>157</v>
      </c>
      <c r="J7" s="185" t="s">
        <v>162</v>
      </c>
      <c r="K7" s="185" t="s">
        <v>123</v>
      </c>
      <c r="L7" s="187" t="s">
        <v>124</v>
      </c>
      <c r="M7" s="186" t="s">
        <v>156</v>
      </c>
      <c r="N7" s="185" t="s">
        <v>157</v>
      </c>
      <c r="O7" s="185" t="s">
        <v>162</v>
      </c>
      <c r="P7" s="185" t="s">
        <v>123</v>
      </c>
      <c r="Q7" s="187" t="s">
        <v>124</v>
      </c>
      <c r="R7" s="186" t="s">
        <v>156</v>
      </c>
      <c r="S7" s="185" t="s">
        <v>157</v>
      </c>
      <c r="T7" s="185" t="s">
        <v>162</v>
      </c>
      <c r="U7" s="185" t="s">
        <v>123</v>
      </c>
      <c r="V7" s="187" t="s">
        <v>124</v>
      </c>
      <c r="W7" s="186" t="s">
        <v>156</v>
      </c>
      <c r="X7" s="185" t="s">
        <v>157</v>
      </c>
      <c r="Y7" s="185" t="s">
        <v>162</v>
      </c>
      <c r="Z7" s="185" t="s">
        <v>123</v>
      </c>
      <c r="AA7" s="187" t="s">
        <v>124</v>
      </c>
      <c r="AB7" s="186" t="s">
        <v>156</v>
      </c>
      <c r="AC7" s="185" t="s">
        <v>157</v>
      </c>
      <c r="AD7" s="185" t="s">
        <v>162</v>
      </c>
      <c r="AE7" s="185" t="s">
        <v>123</v>
      </c>
      <c r="AF7" s="187" t="s">
        <v>124</v>
      </c>
      <c r="AG7" s="186" t="s">
        <v>156</v>
      </c>
      <c r="AH7" s="185" t="s">
        <v>157</v>
      </c>
      <c r="AI7" s="185" t="s">
        <v>162</v>
      </c>
      <c r="AJ7" s="185" t="s">
        <v>123</v>
      </c>
      <c r="AK7" s="187" t="s">
        <v>124</v>
      </c>
    </row>
    <row r="8" spans="1:37" ht="14.15" customHeight="1" x14ac:dyDescent="0.3">
      <c r="A8" s="193" t="s">
        <v>38</v>
      </c>
      <c r="B8" s="190">
        <v>44926</v>
      </c>
      <c r="C8" s="191">
        <v>2346</v>
      </c>
      <c r="D8" s="192">
        <v>2560</v>
      </c>
      <c r="E8" s="192">
        <v>44464</v>
      </c>
      <c r="F8" s="192">
        <v>1594</v>
      </c>
      <c r="G8" s="192">
        <v>3312</v>
      </c>
      <c r="H8" s="191">
        <v>9928</v>
      </c>
      <c r="I8" s="191">
        <v>7256</v>
      </c>
      <c r="J8" s="192">
        <v>44461</v>
      </c>
      <c r="K8" s="192">
        <v>6969</v>
      </c>
      <c r="L8" s="192">
        <v>10215</v>
      </c>
      <c r="M8" s="192">
        <v>1990</v>
      </c>
      <c r="N8" s="192">
        <v>959</v>
      </c>
      <c r="O8" s="191"/>
      <c r="P8" s="191">
        <v>1438</v>
      </c>
      <c r="Q8" s="191">
        <v>1511</v>
      </c>
      <c r="R8" s="191">
        <v>5579</v>
      </c>
      <c r="S8" s="191">
        <v>1555</v>
      </c>
      <c r="T8" s="191">
        <v>3054</v>
      </c>
      <c r="U8" s="191">
        <v>3506</v>
      </c>
      <c r="V8" s="191">
        <v>3628</v>
      </c>
      <c r="W8" s="191">
        <v>1804</v>
      </c>
      <c r="X8" s="191">
        <v>3759</v>
      </c>
      <c r="Y8" s="191">
        <v>7019</v>
      </c>
      <c r="Z8" s="191">
        <v>1307</v>
      </c>
      <c r="AA8" s="191">
        <v>4256</v>
      </c>
      <c r="AB8" s="191">
        <v>7842</v>
      </c>
      <c r="AC8" s="191">
        <v>3165</v>
      </c>
      <c r="AD8" s="191">
        <v>27016</v>
      </c>
      <c r="AE8" s="191">
        <v>5361</v>
      </c>
      <c r="AF8" s="191">
        <v>5646</v>
      </c>
      <c r="AG8" s="191">
        <v>10682</v>
      </c>
      <c r="AH8" s="191">
        <v>8077</v>
      </c>
      <c r="AI8" s="191">
        <v>45186</v>
      </c>
      <c r="AJ8" s="191">
        <v>7488</v>
      </c>
      <c r="AK8" s="191">
        <v>11271</v>
      </c>
    </row>
    <row r="9" spans="1:37" ht="14.15" customHeight="1" x14ac:dyDescent="0.3">
      <c r="A9" s="188" t="s">
        <v>7</v>
      </c>
      <c r="B9" s="331">
        <v>44926</v>
      </c>
      <c r="C9" s="135">
        <v>194</v>
      </c>
      <c r="D9" s="136">
        <v>235</v>
      </c>
      <c r="E9" s="136">
        <v>3340</v>
      </c>
      <c r="F9" s="136">
        <v>117</v>
      </c>
      <c r="G9" s="137">
        <v>312</v>
      </c>
      <c r="H9" s="277">
        <v>977</v>
      </c>
      <c r="I9" s="279">
        <v>621</v>
      </c>
      <c r="J9" s="279">
        <v>3340</v>
      </c>
      <c r="K9" s="136">
        <v>600</v>
      </c>
      <c r="L9" s="137">
        <v>998</v>
      </c>
      <c r="M9" s="135">
        <v>202</v>
      </c>
      <c r="N9" s="136">
        <v>69</v>
      </c>
      <c r="O9" s="136"/>
      <c r="P9" s="136">
        <v>124</v>
      </c>
      <c r="Q9" s="136">
        <v>147</v>
      </c>
      <c r="R9" s="277">
        <v>433</v>
      </c>
      <c r="S9" s="279">
        <v>74</v>
      </c>
      <c r="T9" s="136">
        <v>222</v>
      </c>
      <c r="U9" s="279">
        <v>276</v>
      </c>
      <c r="V9" s="280">
        <v>231</v>
      </c>
      <c r="W9" s="135">
        <v>178</v>
      </c>
      <c r="X9" s="136">
        <v>356</v>
      </c>
      <c r="Y9" s="136">
        <v>513</v>
      </c>
      <c r="Z9" s="136">
        <v>117</v>
      </c>
      <c r="AA9" s="137">
        <v>417</v>
      </c>
      <c r="AB9" s="277">
        <v>763</v>
      </c>
      <c r="AC9" s="279">
        <v>238</v>
      </c>
      <c r="AD9" s="136">
        <v>2089</v>
      </c>
      <c r="AE9" s="279">
        <v>461</v>
      </c>
      <c r="AF9" s="280">
        <v>540</v>
      </c>
      <c r="AG9" s="277">
        <v>1065</v>
      </c>
      <c r="AH9" s="279">
        <v>709</v>
      </c>
      <c r="AI9" s="279">
        <v>3392</v>
      </c>
      <c r="AJ9" s="279">
        <v>663</v>
      </c>
      <c r="AK9" s="280">
        <v>1111</v>
      </c>
    </row>
    <row r="10" spans="1:37" ht="14.15" customHeight="1" x14ac:dyDescent="0.3">
      <c r="A10" s="141" t="s">
        <v>6</v>
      </c>
      <c r="B10" s="331">
        <v>44926</v>
      </c>
      <c r="C10" s="138">
        <v>9</v>
      </c>
      <c r="D10" s="136">
        <v>7</v>
      </c>
      <c r="E10" s="136">
        <v>86</v>
      </c>
      <c r="F10" s="136">
        <v>5</v>
      </c>
      <c r="G10" s="137">
        <v>11</v>
      </c>
      <c r="H10" s="278">
        <v>35</v>
      </c>
      <c r="I10" s="279">
        <v>20</v>
      </c>
      <c r="J10" s="279">
        <v>86</v>
      </c>
      <c r="K10" s="136">
        <v>18</v>
      </c>
      <c r="L10" s="137">
        <v>37</v>
      </c>
      <c r="M10" s="138">
        <v>3</v>
      </c>
      <c r="N10" s="139">
        <v>5</v>
      </c>
      <c r="O10" s="136"/>
      <c r="P10" s="136">
        <v>4</v>
      </c>
      <c r="Q10" s="136">
        <v>4</v>
      </c>
      <c r="R10" s="278">
        <v>10</v>
      </c>
      <c r="S10" s="281">
        <v>1</v>
      </c>
      <c r="T10" s="136">
        <v>7</v>
      </c>
      <c r="U10" s="279">
        <v>7</v>
      </c>
      <c r="V10" s="280">
        <v>4</v>
      </c>
      <c r="W10" s="138">
        <v>8</v>
      </c>
      <c r="X10" s="139">
        <v>10</v>
      </c>
      <c r="Y10" s="136">
        <v>20</v>
      </c>
      <c r="Z10" s="136">
        <v>4</v>
      </c>
      <c r="AA10" s="137">
        <v>14</v>
      </c>
      <c r="AB10" s="278">
        <v>27</v>
      </c>
      <c r="AC10" s="281">
        <v>10</v>
      </c>
      <c r="AD10" s="139">
        <v>53</v>
      </c>
      <c r="AE10" s="279">
        <v>14</v>
      </c>
      <c r="AF10" s="280">
        <v>23</v>
      </c>
      <c r="AG10" s="278">
        <v>37</v>
      </c>
      <c r="AH10" s="281">
        <v>20</v>
      </c>
      <c r="AI10" s="279">
        <v>87</v>
      </c>
      <c r="AJ10" s="279">
        <v>19</v>
      </c>
      <c r="AK10" s="280">
        <v>38</v>
      </c>
    </row>
    <row r="11" spans="1:37" ht="14.15" customHeight="1" x14ac:dyDescent="0.3">
      <c r="A11" s="141" t="s">
        <v>5</v>
      </c>
      <c r="B11" s="331">
        <v>44926</v>
      </c>
      <c r="C11" s="138">
        <v>21</v>
      </c>
      <c r="D11" s="136">
        <v>18</v>
      </c>
      <c r="E11" s="136">
        <v>304</v>
      </c>
      <c r="F11" s="136">
        <v>15</v>
      </c>
      <c r="G11" s="137">
        <v>24</v>
      </c>
      <c r="H11" s="278">
        <v>89</v>
      </c>
      <c r="I11" s="279">
        <v>61</v>
      </c>
      <c r="J11" s="279">
        <v>304</v>
      </c>
      <c r="K11" s="136">
        <v>59</v>
      </c>
      <c r="L11" s="137">
        <v>91</v>
      </c>
      <c r="M11" s="138">
        <v>13</v>
      </c>
      <c r="N11" s="139">
        <v>8</v>
      </c>
      <c r="O11" s="136"/>
      <c r="P11" s="136">
        <v>10</v>
      </c>
      <c r="Q11" s="136">
        <v>11</v>
      </c>
      <c r="R11" s="278">
        <v>49</v>
      </c>
      <c r="S11" s="281">
        <v>10</v>
      </c>
      <c r="T11" s="136">
        <v>28</v>
      </c>
      <c r="U11" s="279">
        <v>33</v>
      </c>
      <c r="V11" s="280">
        <v>26</v>
      </c>
      <c r="W11" s="138">
        <v>15</v>
      </c>
      <c r="X11" s="139">
        <v>30</v>
      </c>
      <c r="Y11" s="136">
        <v>50</v>
      </c>
      <c r="Z11" s="136">
        <v>11</v>
      </c>
      <c r="AA11" s="137">
        <v>34</v>
      </c>
      <c r="AB11" s="278">
        <v>72</v>
      </c>
      <c r="AC11" s="281">
        <v>27</v>
      </c>
      <c r="AD11" s="139">
        <v>182</v>
      </c>
      <c r="AE11" s="279">
        <v>46</v>
      </c>
      <c r="AF11" s="280">
        <v>53</v>
      </c>
      <c r="AG11" s="278">
        <v>97</v>
      </c>
      <c r="AH11" s="281">
        <v>66</v>
      </c>
      <c r="AI11" s="279">
        <v>311</v>
      </c>
      <c r="AJ11" s="279">
        <v>61</v>
      </c>
      <c r="AK11" s="280">
        <v>102</v>
      </c>
    </row>
    <row r="12" spans="1:37" ht="14.15" customHeight="1" x14ac:dyDescent="0.3">
      <c r="A12" s="141" t="s">
        <v>8</v>
      </c>
      <c r="B12" s="331">
        <v>44926</v>
      </c>
      <c r="C12" s="138">
        <v>277</v>
      </c>
      <c r="D12" s="136">
        <v>333</v>
      </c>
      <c r="E12" s="136">
        <v>5084</v>
      </c>
      <c r="F12" s="136">
        <v>203</v>
      </c>
      <c r="G12" s="137">
        <v>407</v>
      </c>
      <c r="H12" s="278">
        <v>1295</v>
      </c>
      <c r="I12" s="279">
        <v>978</v>
      </c>
      <c r="J12" s="279">
        <v>5083</v>
      </c>
      <c r="K12" s="136">
        <v>931</v>
      </c>
      <c r="L12" s="137">
        <v>1342</v>
      </c>
      <c r="M12" s="138">
        <v>252</v>
      </c>
      <c r="N12" s="139">
        <v>128</v>
      </c>
      <c r="O12" s="136"/>
      <c r="P12" s="136">
        <v>190</v>
      </c>
      <c r="Q12" s="136">
        <v>190</v>
      </c>
      <c r="R12" s="278">
        <v>802</v>
      </c>
      <c r="S12" s="281">
        <v>254</v>
      </c>
      <c r="T12" s="136">
        <v>360</v>
      </c>
      <c r="U12" s="279">
        <v>515</v>
      </c>
      <c r="V12" s="280">
        <v>541</v>
      </c>
      <c r="W12" s="138">
        <v>188</v>
      </c>
      <c r="X12" s="139">
        <v>474</v>
      </c>
      <c r="Y12" s="136">
        <v>815</v>
      </c>
      <c r="Z12" s="136">
        <v>150</v>
      </c>
      <c r="AA12" s="137">
        <v>512</v>
      </c>
      <c r="AB12" s="278">
        <v>1065</v>
      </c>
      <c r="AC12" s="281">
        <v>465</v>
      </c>
      <c r="AD12" s="139">
        <v>3098</v>
      </c>
      <c r="AE12" s="279">
        <v>736</v>
      </c>
      <c r="AF12" s="280">
        <v>794</v>
      </c>
      <c r="AG12" s="278">
        <v>1400</v>
      </c>
      <c r="AH12" s="281">
        <v>1086</v>
      </c>
      <c r="AI12" s="279">
        <v>5191</v>
      </c>
      <c r="AJ12" s="279">
        <v>1013</v>
      </c>
      <c r="AK12" s="280">
        <v>1473</v>
      </c>
    </row>
    <row r="13" spans="1:37" ht="14.15" customHeight="1" x14ac:dyDescent="0.3">
      <c r="A13" s="141" t="s">
        <v>9</v>
      </c>
      <c r="B13" s="331">
        <v>44926</v>
      </c>
      <c r="C13" s="138">
        <v>48</v>
      </c>
      <c r="D13" s="136">
        <v>89</v>
      </c>
      <c r="E13" s="136">
        <v>1474</v>
      </c>
      <c r="F13" s="136">
        <v>40</v>
      </c>
      <c r="G13" s="137">
        <v>97</v>
      </c>
      <c r="H13" s="278">
        <v>222</v>
      </c>
      <c r="I13" s="279">
        <v>187</v>
      </c>
      <c r="J13" s="279">
        <v>1474</v>
      </c>
      <c r="K13" s="136">
        <v>164</v>
      </c>
      <c r="L13" s="137">
        <v>245</v>
      </c>
      <c r="M13" s="138">
        <v>60</v>
      </c>
      <c r="N13" s="139">
        <v>32</v>
      </c>
      <c r="O13" s="136"/>
      <c r="P13" s="136">
        <v>49</v>
      </c>
      <c r="Q13" s="136">
        <v>43</v>
      </c>
      <c r="R13" s="278">
        <v>134</v>
      </c>
      <c r="S13" s="281">
        <v>40</v>
      </c>
      <c r="T13" s="136">
        <v>110</v>
      </c>
      <c r="U13" s="279">
        <v>93</v>
      </c>
      <c r="V13" s="280">
        <v>81</v>
      </c>
      <c r="W13" s="138">
        <v>49</v>
      </c>
      <c r="X13" s="139">
        <v>117</v>
      </c>
      <c r="Y13" s="136">
        <v>213</v>
      </c>
      <c r="Z13" s="136">
        <v>35</v>
      </c>
      <c r="AA13" s="137">
        <v>131</v>
      </c>
      <c r="AB13" s="278">
        <v>166</v>
      </c>
      <c r="AC13" s="281">
        <v>65</v>
      </c>
      <c r="AD13" s="139">
        <v>906</v>
      </c>
      <c r="AE13" s="279">
        <v>125</v>
      </c>
      <c r="AF13" s="280">
        <v>106</v>
      </c>
      <c r="AG13" s="278">
        <v>238</v>
      </c>
      <c r="AH13" s="281">
        <v>207</v>
      </c>
      <c r="AI13" s="279">
        <v>1504</v>
      </c>
      <c r="AJ13" s="279">
        <v>171</v>
      </c>
      <c r="AK13" s="280">
        <v>274</v>
      </c>
    </row>
    <row r="14" spans="1:37" ht="14.15" customHeight="1" x14ac:dyDescent="0.3">
      <c r="A14" s="141" t="s">
        <v>10</v>
      </c>
      <c r="B14" s="331">
        <v>44926</v>
      </c>
      <c r="C14" s="138">
        <v>45</v>
      </c>
      <c r="D14" s="136">
        <v>45</v>
      </c>
      <c r="E14" s="136">
        <v>1227</v>
      </c>
      <c r="F14" s="136">
        <v>35</v>
      </c>
      <c r="G14" s="137">
        <v>55</v>
      </c>
      <c r="H14" s="278">
        <v>226</v>
      </c>
      <c r="I14" s="279">
        <v>135</v>
      </c>
      <c r="J14" s="279">
        <v>1227</v>
      </c>
      <c r="K14" s="136">
        <v>161</v>
      </c>
      <c r="L14" s="137">
        <v>200</v>
      </c>
      <c r="M14" s="138">
        <v>55</v>
      </c>
      <c r="N14" s="139">
        <v>27</v>
      </c>
      <c r="O14" s="136"/>
      <c r="P14" s="136">
        <v>43</v>
      </c>
      <c r="Q14" s="136">
        <v>39</v>
      </c>
      <c r="R14" s="278">
        <v>99</v>
      </c>
      <c r="S14" s="281">
        <v>29</v>
      </c>
      <c r="T14" s="136">
        <v>69</v>
      </c>
      <c r="U14" s="279">
        <v>66</v>
      </c>
      <c r="V14" s="280">
        <v>62</v>
      </c>
      <c r="W14" s="138">
        <v>48</v>
      </c>
      <c r="X14" s="139">
        <v>64</v>
      </c>
      <c r="Y14" s="136">
        <v>202</v>
      </c>
      <c r="Z14" s="136">
        <v>32</v>
      </c>
      <c r="AA14" s="137">
        <v>80</v>
      </c>
      <c r="AB14" s="278">
        <v>167</v>
      </c>
      <c r="AC14" s="281">
        <v>58</v>
      </c>
      <c r="AD14" s="136">
        <v>717</v>
      </c>
      <c r="AE14" s="279">
        <v>113</v>
      </c>
      <c r="AF14" s="280">
        <v>112</v>
      </c>
      <c r="AG14" s="278">
        <v>240</v>
      </c>
      <c r="AH14" s="281">
        <v>156</v>
      </c>
      <c r="AI14" s="279">
        <v>1243</v>
      </c>
      <c r="AJ14" s="279">
        <v>170</v>
      </c>
      <c r="AK14" s="280">
        <v>226</v>
      </c>
    </row>
    <row r="15" spans="1:37" ht="14.15" customHeight="1" x14ac:dyDescent="0.3">
      <c r="A15" s="141" t="s">
        <v>11</v>
      </c>
      <c r="B15" s="331">
        <v>44926</v>
      </c>
      <c r="C15" s="138">
        <v>73</v>
      </c>
      <c r="D15" s="136">
        <v>77</v>
      </c>
      <c r="E15" s="136">
        <v>1714</v>
      </c>
      <c r="F15" s="136">
        <v>45</v>
      </c>
      <c r="G15" s="137">
        <v>105</v>
      </c>
      <c r="H15" s="278">
        <v>292</v>
      </c>
      <c r="I15" s="279">
        <v>233</v>
      </c>
      <c r="J15" s="279">
        <v>1714</v>
      </c>
      <c r="K15" s="136">
        <v>217</v>
      </c>
      <c r="L15" s="137">
        <v>308</v>
      </c>
      <c r="M15" s="138">
        <v>75</v>
      </c>
      <c r="N15" s="139">
        <v>28</v>
      </c>
      <c r="O15" s="136"/>
      <c r="P15" s="136">
        <v>53</v>
      </c>
      <c r="Q15" s="136">
        <v>50</v>
      </c>
      <c r="R15" s="278">
        <v>238</v>
      </c>
      <c r="S15" s="281">
        <v>38</v>
      </c>
      <c r="T15" s="136">
        <v>118</v>
      </c>
      <c r="U15" s="279">
        <v>134</v>
      </c>
      <c r="V15" s="280">
        <v>142</v>
      </c>
      <c r="W15" s="138">
        <v>68</v>
      </c>
      <c r="X15" s="139">
        <v>123</v>
      </c>
      <c r="Y15" s="136">
        <v>315</v>
      </c>
      <c r="Z15" s="136">
        <v>44</v>
      </c>
      <c r="AA15" s="137">
        <v>147</v>
      </c>
      <c r="AB15" s="278">
        <v>212</v>
      </c>
      <c r="AC15" s="281">
        <v>95</v>
      </c>
      <c r="AD15" s="136">
        <v>1014</v>
      </c>
      <c r="AE15" s="279">
        <v>161</v>
      </c>
      <c r="AF15" s="280">
        <v>146</v>
      </c>
      <c r="AG15" s="278">
        <v>323</v>
      </c>
      <c r="AH15" s="281">
        <v>262</v>
      </c>
      <c r="AI15" s="279">
        <v>1742</v>
      </c>
      <c r="AJ15" s="279">
        <v>237</v>
      </c>
      <c r="AK15" s="280">
        <v>348</v>
      </c>
    </row>
    <row r="16" spans="1:37" ht="14.15" customHeight="1" x14ac:dyDescent="0.3">
      <c r="A16" s="141" t="s">
        <v>12</v>
      </c>
      <c r="B16" s="331">
        <v>44926</v>
      </c>
      <c r="C16" s="138">
        <v>187</v>
      </c>
      <c r="D16" s="136">
        <v>172</v>
      </c>
      <c r="E16" s="136">
        <v>2940</v>
      </c>
      <c r="F16" s="136">
        <v>146</v>
      </c>
      <c r="G16" s="137">
        <v>213</v>
      </c>
      <c r="H16" s="278">
        <v>705</v>
      </c>
      <c r="I16" s="279">
        <v>467</v>
      </c>
      <c r="J16" s="279">
        <v>2940</v>
      </c>
      <c r="K16" s="136">
        <v>500</v>
      </c>
      <c r="L16" s="137">
        <v>672</v>
      </c>
      <c r="M16" s="138">
        <v>130</v>
      </c>
      <c r="N16" s="139">
        <v>65</v>
      </c>
      <c r="O16" s="136"/>
      <c r="P16" s="136">
        <v>87</v>
      </c>
      <c r="Q16" s="136">
        <v>108</v>
      </c>
      <c r="R16" s="278">
        <v>372</v>
      </c>
      <c r="S16" s="281">
        <v>119</v>
      </c>
      <c r="T16" s="136">
        <v>197</v>
      </c>
      <c r="U16" s="279">
        <v>239</v>
      </c>
      <c r="V16" s="280">
        <v>252</v>
      </c>
      <c r="W16" s="138">
        <v>127</v>
      </c>
      <c r="X16" s="139">
        <v>202</v>
      </c>
      <c r="Y16" s="136">
        <v>402</v>
      </c>
      <c r="Z16" s="136">
        <v>92</v>
      </c>
      <c r="AA16" s="137">
        <v>237</v>
      </c>
      <c r="AB16" s="278">
        <v>556</v>
      </c>
      <c r="AC16" s="281">
        <v>237</v>
      </c>
      <c r="AD16" s="136">
        <v>1740</v>
      </c>
      <c r="AE16" s="279">
        <v>383</v>
      </c>
      <c r="AF16" s="280">
        <v>410</v>
      </c>
      <c r="AG16" s="278">
        <v>746</v>
      </c>
      <c r="AH16" s="281">
        <v>521</v>
      </c>
      <c r="AI16" s="279">
        <v>2985</v>
      </c>
      <c r="AJ16" s="279">
        <v>524</v>
      </c>
      <c r="AK16" s="280">
        <v>743</v>
      </c>
    </row>
    <row r="17" spans="1:37" ht="14.15" customHeight="1" x14ac:dyDescent="0.3">
      <c r="A17" s="141" t="s">
        <v>3</v>
      </c>
      <c r="B17" s="331">
        <v>44926</v>
      </c>
      <c r="C17" s="138">
        <v>18</v>
      </c>
      <c r="D17" s="136">
        <v>19</v>
      </c>
      <c r="E17" s="136">
        <v>213</v>
      </c>
      <c r="F17" s="136">
        <v>12</v>
      </c>
      <c r="G17" s="137">
        <v>25</v>
      </c>
      <c r="H17" s="278">
        <v>58</v>
      </c>
      <c r="I17" s="279">
        <v>60</v>
      </c>
      <c r="J17" s="279">
        <v>213</v>
      </c>
      <c r="K17" s="136">
        <v>49</v>
      </c>
      <c r="L17" s="137">
        <v>69</v>
      </c>
      <c r="M17" s="138">
        <v>11</v>
      </c>
      <c r="N17" s="139">
        <v>9</v>
      </c>
      <c r="O17" s="136"/>
      <c r="P17" s="136">
        <v>10</v>
      </c>
      <c r="Q17" s="136">
        <v>10</v>
      </c>
      <c r="R17" s="278">
        <v>27</v>
      </c>
      <c r="S17" s="281">
        <v>8</v>
      </c>
      <c r="T17" s="136">
        <v>21</v>
      </c>
      <c r="U17" s="279">
        <v>19</v>
      </c>
      <c r="V17" s="280">
        <v>16</v>
      </c>
      <c r="W17" s="138">
        <v>7</v>
      </c>
      <c r="X17" s="139">
        <v>31</v>
      </c>
      <c r="Y17" s="136">
        <v>35</v>
      </c>
      <c r="Z17" s="136">
        <v>8</v>
      </c>
      <c r="AA17" s="137">
        <v>30</v>
      </c>
      <c r="AB17" s="278">
        <v>50</v>
      </c>
      <c r="AC17" s="281">
        <v>28</v>
      </c>
      <c r="AD17" s="136">
        <v>131</v>
      </c>
      <c r="AE17" s="279">
        <v>39</v>
      </c>
      <c r="AF17" s="280">
        <v>39</v>
      </c>
      <c r="AG17" s="278">
        <v>63</v>
      </c>
      <c r="AH17" s="281">
        <v>64</v>
      </c>
      <c r="AI17" s="279">
        <v>214</v>
      </c>
      <c r="AJ17" s="279">
        <v>53</v>
      </c>
      <c r="AK17" s="280">
        <v>74</v>
      </c>
    </row>
    <row r="18" spans="1:37" ht="14.15" customHeight="1" x14ac:dyDescent="0.3">
      <c r="A18" s="141" t="s">
        <v>13</v>
      </c>
      <c r="B18" s="331">
        <v>44926</v>
      </c>
      <c r="C18" s="138">
        <v>83</v>
      </c>
      <c r="D18" s="136">
        <v>64</v>
      </c>
      <c r="E18" s="136">
        <v>922</v>
      </c>
      <c r="F18" s="136">
        <v>46</v>
      </c>
      <c r="G18" s="137">
        <v>101</v>
      </c>
      <c r="H18" s="278">
        <v>271</v>
      </c>
      <c r="I18" s="279">
        <v>177</v>
      </c>
      <c r="J18" s="279">
        <v>922</v>
      </c>
      <c r="K18" s="136">
        <v>170</v>
      </c>
      <c r="L18" s="137">
        <v>278</v>
      </c>
      <c r="M18" s="138">
        <v>46</v>
      </c>
      <c r="N18" s="139">
        <v>15</v>
      </c>
      <c r="O18" s="136"/>
      <c r="P18" s="136">
        <v>31</v>
      </c>
      <c r="Q18" s="136">
        <v>30</v>
      </c>
      <c r="R18" s="278">
        <v>135</v>
      </c>
      <c r="S18" s="281">
        <v>22</v>
      </c>
      <c r="T18" s="136">
        <v>89</v>
      </c>
      <c r="U18" s="279">
        <v>82</v>
      </c>
      <c r="V18" s="280">
        <v>75</v>
      </c>
      <c r="W18" s="138">
        <v>50</v>
      </c>
      <c r="X18" s="139">
        <v>96</v>
      </c>
      <c r="Y18" s="136">
        <v>129</v>
      </c>
      <c r="Z18" s="136">
        <v>33</v>
      </c>
      <c r="AA18" s="137">
        <v>113</v>
      </c>
      <c r="AB18" s="278">
        <v>217</v>
      </c>
      <c r="AC18" s="281">
        <v>72</v>
      </c>
      <c r="AD18" s="136">
        <v>575</v>
      </c>
      <c r="AE18" s="279">
        <v>132</v>
      </c>
      <c r="AF18" s="280">
        <v>157</v>
      </c>
      <c r="AG18" s="278">
        <v>290</v>
      </c>
      <c r="AH18" s="281">
        <v>200</v>
      </c>
      <c r="AI18" s="279">
        <v>933</v>
      </c>
      <c r="AJ18" s="279">
        <v>185</v>
      </c>
      <c r="AK18" s="280">
        <v>305</v>
      </c>
    </row>
    <row r="19" spans="1:37" ht="14.15" customHeight="1" x14ac:dyDescent="0.3">
      <c r="A19" s="141" t="s">
        <v>14</v>
      </c>
      <c r="B19" s="331">
        <v>44926</v>
      </c>
      <c r="C19" s="138">
        <v>44</v>
      </c>
      <c r="D19" s="136">
        <v>21</v>
      </c>
      <c r="E19" s="136">
        <v>390</v>
      </c>
      <c r="F19" s="136">
        <v>25</v>
      </c>
      <c r="G19" s="137">
        <v>40</v>
      </c>
      <c r="H19" s="278">
        <v>119</v>
      </c>
      <c r="I19" s="279">
        <v>70</v>
      </c>
      <c r="J19" s="279">
        <v>390</v>
      </c>
      <c r="K19" s="136">
        <v>85</v>
      </c>
      <c r="L19" s="137">
        <v>104</v>
      </c>
      <c r="M19" s="138">
        <v>28</v>
      </c>
      <c r="N19" s="139">
        <v>5</v>
      </c>
      <c r="O19" s="136"/>
      <c r="P19" s="136">
        <v>17</v>
      </c>
      <c r="Q19" s="136">
        <v>16</v>
      </c>
      <c r="R19" s="278">
        <v>87</v>
      </c>
      <c r="S19" s="281">
        <v>10</v>
      </c>
      <c r="T19" s="136">
        <v>25</v>
      </c>
      <c r="U19" s="279">
        <v>45</v>
      </c>
      <c r="V19" s="280">
        <v>52</v>
      </c>
      <c r="W19" s="138">
        <v>17</v>
      </c>
      <c r="X19" s="139">
        <v>35</v>
      </c>
      <c r="Y19" s="136">
        <v>55</v>
      </c>
      <c r="Z19" s="136">
        <v>12</v>
      </c>
      <c r="AA19" s="137">
        <v>40</v>
      </c>
      <c r="AB19" s="278">
        <v>100</v>
      </c>
      <c r="AC19" s="281">
        <v>32</v>
      </c>
      <c r="AD19" s="136">
        <v>234</v>
      </c>
      <c r="AE19" s="279">
        <v>70</v>
      </c>
      <c r="AF19" s="280">
        <v>62</v>
      </c>
      <c r="AG19" s="278">
        <v>131</v>
      </c>
      <c r="AH19" s="281">
        <v>76</v>
      </c>
      <c r="AI19" s="279">
        <v>399</v>
      </c>
      <c r="AJ19" s="279">
        <v>90</v>
      </c>
      <c r="AK19" s="280">
        <v>117</v>
      </c>
    </row>
    <row r="20" spans="1:37" ht="14.15" customHeight="1" x14ac:dyDescent="0.3">
      <c r="A20" s="141" t="s">
        <v>15</v>
      </c>
      <c r="B20" s="331">
        <v>44926</v>
      </c>
      <c r="C20" s="138">
        <v>111</v>
      </c>
      <c r="D20" s="136">
        <v>119</v>
      </c>
      <c r="E20" s="136">
        <v>2137</v>
      </c>
      <c r="F20" s="136">
        <v>76</v>
      </c>
      <c r="G20" s="137">
        <v>154</v>
      </c>
      <c r="H20" s="278">
        <v>556</v>
      </c>
      <c r="I20" s="279">
        <v>393</v>
      </c>
      <c r="J20" s="279">
        <v>2137</v>
      </c>
      <c r="K20" s="136">
        <v>378</v>
      </c>
      <c r="L20" s="137">
        <v>571</v>
      </c>
      <c r="M20" s="138">
        <v>104</v>
      </c>
      <c r="N20" s="139">
        <v>58</v>
      </c>
      <c r="O20" s="136"/>
      <c r="P20" s="136">
        <v>73</v>
      </c>
      <c r="Q20" s="136">
        <v>89</v>
      </c>
      <c r="R20" s="278">
        <v>290</v>
      </c>
      <c r="S20" s="281">
        <v>84</v>
      </c>
      <c r="T20" s="136">
        <v>143</v>
      </c>
      <c r="U20" s="279">
        <v>168</v>
      </c>
      <c r="V20" s="280">
        <v>206</v>
      </c>
      <c r="W20" s="138">
        <v>98</v>
      </c>
      <c r="X20" s="139">
        <v>200</v>
      </c>
      <c r="Y20" s="136">
        <v>357</v>
      </c>
      <c r="Z20" s="136">
        <v>79</v>
      </c>
      <c r="AA20" s="137">
        <v>219</v>
      </c>
      <c r="AB20" s="278">
        <v>444</v>
      </c>
      <c r="AC20" s="281">
        <v>175</v>
      </c>
      <c r="AD20" s="136">
        <v>1344</v>
      </c>
      <c r="AE20" s="279">
        <v>284</v>
      </c>
      <c r="AF20" s="280">
        <v>335</v>
      </c>
      <c r="AG20" s="278">
        <v>600</v>
      </c>
      <c r="AH20" s="281">
        <v>436</v>
      </c>
      <c r="AI20" s="279">
        <v>2163</v>
      </c>
      <c r="AJ20" s="279">
        <v>405</v>
      </c>
      <c r="AK20" s="280">
        <v>631</v>
      </c>
    </row>
    <row r="21" spans="1:37" ht="14.15" customHeight="1" x14ac:dyDescent="0.3">
      <c r="A21" s="141" t="s">
        <v>16</v>
      </c>
      <c r="B21" s="331">
        <v>44926</v>
      </c>
      <c r="C21" s="138">
        <v>45</v>
      </c>
      <c r="D21" s="136">
        <v>44</v>
      </c>
      <c r="E21" s="136">
        <v>872</v>
      </c>
      <c r="F21" s="136">
        <v>31</v>
      </c>
      <c r="G21" s="137">
        <v>58</v>
      </c>
      <c r="H21" s="278">
        <v>177</v>
      </c>
      <c r="I21" s="279">
        <v>122</v>
      </c>
      <c r="J21" s="279">
        <v>871</v>
      </c>
      <c r="K21" s="136">
        <v>127</v>
      </c>
      <c r="L21" s="137">
        <v>172</v>
      </c>
      <c r="M21" s="138">
        <v>34</v>
      </c>
      <c r="N21" s="139">
        <v>27</v>
      </c>
      <c r="O21" s="136"/>
      <c r="P21" s="136">
        <v>29</v>
      </c>
      <c r="Q21" s="136">
        <v>32</v>
      </c>
      <c r="R21" s="278">
        <v>146</v>
      </c>
      <c r="S21" s="281">
        <v>34</v>
      </c>
      <c r="T21" s="136">
        <v>52</v>
      </c>
      <c r="U21" s="279">
        <v>87</v>
      </c>
      <c r="V21" s="280">
        <v>93</v>
      </c>
      <c r="W21" s="138">
        <v>41</v>
      </c>
      <c r="X21" s="139">
        <v>65</v>
      </c>
      <c r="Y21" s="136">
        <v>132</v>
      </c>
      <c r="Z21" s="136">
        <v>21</v>
      </c>
      <c r="AA21" s="137">
        <v>85</v>
      </c>
      <c r="AB21" s="278">
        <v>130</v>
      </c>
      <c r="AC21" s="281">
        <v>47</v>
      </c>
      <c r="AD21" s="136">
        <v>565</v>
      </c>
      <c r="AE21" s="279">
        <v>97</v>
      </c>
      <c r="AF21" s="280">
        <v>80</v>
      </c>
      <c r="AG21" s="278">
        <v>189</v>
      </c>
      <c r="AH21" s="281">
        <v>138</v>
      </c>
      <c r="AI21" s="279">
        <v>890</v>
      </c>
      <c r="AJ21" s="279">
        <v>136</v>
      </c>
      <c r="AK21" s="280">
        <v>191</v>
      </c>
    </row>
    <row r="22" spans="1:37" ht="14.15" customHeight="1" x14ac:dyDescent="0.3">
      <c r="A22" s="141" t="s">
        <v>17</v>
      </c>
      <c r="B22" s="331">
        <v>44926</v>
      </c>
      <c r="C22" s="138">
        <v>20</v>
      </c>
      <c r="D22" s="136">
        <v>17</v>
      </c>
      <c r="E22" s="136">
        <v>214</v>
      </c>
      <c r="F22" s="136">
        <v>13</v>
      </c>
      <c r="G22" s="137">
        <v>24</v>
      </c>
      <c r="H22" s="278">
        <v>72</v>
      </c>
      <c r="I22" s="279">
        <v>58</v>
      </c>
      <c r="J22" s="279">
        <v>214</v>
      </c>
      <c r="K22" s="136">
        <v>51</v>
      </c>
      <c r="L22" s="137">
        <v>79</v>
      </c>
      <c r="M22" s="138">
        <v>16</v>
      </c>
      <c r="N22" s="139">
        <v>8</v>
      </c>
      <c r="O22" s="136"/>
      <c r="P22" s="136">
        <v>10</v>
      </c>
      <c r="Q22" s="136">
        <v>14</v>
      </c>
      <c r="R22" s="278">
        <v>34</v>
      </c>
      <c r="S22" s="281">
        <v>7</v>
      </c>
      <c r="T22" s="136">
        <v>11</v>
      </c>
      <c r="U22" s="279">
        <v>15</v>
      </c>
      <c r="V22" s="280">
        <v>26</v>
      </c>
      <c r="W22" s="138">
        <v>12</v>
      </c>
      <c r="X22" s="139">
        <v>32</v>
      </c>
      <c r="Y22" s="136">
        <v>30</v>
      </c>
      <c r="Z22" s="136">
        <v>12</v>
      </c>
      <c r="AA22" s="137">
        <v>32</v>
      </c>
      <c r="AB22" s="278">
        <v>57</v>
      </c>
      <c r="AC22" s="281">
        <v>24</v>
      </c>
      <c r="AD22" s="136">
        <v>130</v>
      </c>
      <c r="AE22" s="279">
        <v>37</v>
      </c>
      <c r="AF22" s="280">
        <v>44</v>
      </c>
      <c r="AG22" s="278">
        <v>77</v>
      </c>
      <c r="AH22" s="281">
        <v>60</v>
      </c>
      <c r="AI22" s="279">
        <v>217</v>
      </c>
      <c r="AJ22" s="279">
        <v>53</v>
      </c>
      <c r="AK22" s="280">
        <v>84</v>
      </c>
    </row>
    <row r="23" spans="1:37" ht="14.15" customHeight="1" x14ac:dyDescent="0.3">
      <c r="A23" s="141" t="s">
        <v>18</v>
      </c>
      <c r="B23" s="331">
        <v>44926</v>
      </c>
      <c r="C23" s="138">
        <v>10</v>
      </c>
      <c r="D23" s="136">
        <v>12</v>
      </c>
      <c r="E23" s="136">
        <v>174</v>
      </c>
      <c r="F23" s="136">
        <v>9</v>
      </c>
      <c r="G23" s="137">
        <v>13</v>
      </c>
      <c r="H23" s="278">
        <v>26</v>
      </c>
      <c r="I23" s="279">
        <v>26</v>
      </c>
      <c r="J23" s="279">
        <v>174</v>
      </c>
      <c r="K23" s="136">
        <v>23</v>
      </c>
      <c r="L23" s="137">
        <v>29</v>
      </c>
      <c r="M23" s="138">
        <v>3</v>
      </c>
      <c r="N23" s="139">
        <v>3</v>
      </c>
      <c r="O23" s="136"/>
      <c r="P23" s="136">
        <v>5</v>
      </c>
      <c r="Q23" s="136">
        <v>1</v>
      </c>
      <c r="R23" s="278">
        <v>25</v>
      </c>
      <c r="S23" s="281">
        <v>4</v>
      </c>
      <c r="T23" s="136">
        <v>19</v>
      </c>
      <c r="U23" s="279">
        <v>15</v>
      </c>
      <c r="V23" s="280">
        <v>14</v>
      </c>
      <c r="W23" s="138">
        <v>3</v>
      </c>
      <c r="X23" s="139">
        <v>12</v>
      </c>
      <c r="Y23" s="136">
        <v>33</v>
      </c>
      <c r="Z23" s="136">
        <v>4</v>
      </c>
      <c r="AA23" s="137">
        <v>11</v>
      </c>
      <c r="AB23" s="278">
        <v>22</v>
      </c>
      <c r="AC23" s="281">
        <v>14</v>
      </c>
      <c r="AD23" s="136">
        <v>110</v>
      </c>
      <c r="AE23" s="279">
        <v>18</v>
      </c>
      <c r="AF23" s="280">
        <v>18</v>
      </c>
      <c r="AG23" s="278">
        <v>27</v>
      </c>
      <c r="AH23" s="281">
        <v>26</v>
      </c>
      <c r="AI23" s="279">
        <v>177</v>
      </c>
      <c r="AJ23" s="279">
        <v>23</v>
      </c>
      <c r="AK23" s="280">
        <v>30</v>
      </c>
    </row>
    <row r="24" spans="1:37" ht="14.15" customHeight="1" x14ac:dyDescent="0.3">
      <c r="A24" s="141" t="s">
        <v>19</v>
      </c>
      <c r="B24" s="331">
        <v>44926</v>
      </c>
      <c r="C24" s="138">
        <v>145</v>
      </c>
      <c r="D24" s="136">
        <v>165</v>
      </c>
      <c r="E24" s="136">
        <v>2709</v>
      </c>
      <c r="F24" s="136">
        <v>93</v>
      </c>
      <c r="G24" s="137">
        <v>217</v>
      </c>
      <c r="H24" s="278">
        <v>563</v>
      </c>
      <c r="I24" s="279">
        <v>450</v>
      </c>
      <c r="J24" s="279">
        <v>2709</v>
      </c>
      <c r="K24" s="136">
        <v>404</v>
      </c>
      <c r="L24" s="137">
        <v>609</v>
      </c>
      <c r="M24" s="138">
        <v>91</v>
      </c>
      <c r="N24" s="139">
        <v>51</v>
      </c>
      <c r="O24" s="136"/>
      <c r="P24" s="136">
        <v>72</v>
      </c>
      <c r="Q24" s="136">
        <v>70</v>
      </c>
      <c r="R24" s="278">
        <v>324</v>
      </c>
      <c r="S24" s="281">
        <v>93</v>
      </c>
      <c r="T24" s="136">
        <v>187</v>
      </c>
      <c r="U24" s="279">
        <v>193</v>
      </c>
      <c r="V24" s="280">
        <v>224</v>
      </c>
      <c r="W24" s="138">
        <v>100</v>
      </c>
      <c r="X24" s="139">
        <v>233</v>
      </c>
      <c r="Y24" s="136">
        <v>460</v>
      </c>
      <c r="Z24" s="136">
        <v>77</v>
      </c>
      <c r="AA24" s="137">
        <v>256</v>
      </c>
      <c r="AB24" s="278">
        <v>446</v>
      </c>
      <c r="AC24" s="281">
        <v>200</v>
      </c>
      <c r="AD24" s="136">
        <v>1639</v>
      </c>
      <c r="AE24" s="279">
        <v>310</v>
      </c>
      <c r="AF24" s="280">
        <v>336</v>
      </c>
      <c r="AG24" s="278">
        <v>603</v>
      </c>
      <c r="AH24" s="281">
        <v>499</v>
      </c>
      <c r="AI24" s="279">
        <v>2758</v>
      </c>
      <c r="AJ24" s="279">
        <v>434</v>
      </c>
      <c r="AK24" s="280">
        <v>668</v>
      </c>
    </row>
    <row r="25" spans="1:37" ht="14.15" customHeight="1" x14ac:dyDescent="0.3">
      <c r="A25" s="141" t="s">
        <v>20</v>
      </c>
      <c r="B25" s="331">
        <v>44926</v>
      </c>
      <c r="C25" s="138">
        <v>37</v>
      </c>
      <c r="D25" s="136">
        <v>31</v>
      </c>
      <c r="E25" s="136">
        <v>466</v>
      </c>
      <c r="F25" s="136">
        <v>21</v>
      </c>
      <c r="G25" s="137">
        <v>47</v>
      </c>
      <c r="H25" s="278">
        <v>145</v>
      </c>
      <c r="I25" s="279">
        <v>95</v>
      </c>
      <c r="J25" s="279">
        <v>466</v>
      </c>
      <c r="K25" s="136">
        <v>92</v>
      </c>
      <c r="L25" s="137">
        <v>148</v>
      </c>
      <c r="M25" s="138">
        <v>30</v>
      </c>
      <c r="N25" s="139">
        <v>8</v>
      </c>
      <c r="O25" s="136"/>
      <c r="P25" s="136">
        <v>20</v>
      </c>
      <c r="Q25" s="136">
        <v>18</v>
      </c>
      <c r="R25" s="278">
        <v>66</v>
      </c>
      <c r="S25" s="281">
        <v>12</v>
      </c>
      <c r="T25" s="136">
        <v>31</v>
      </c>
      <c r="U25" s="279">
        <v>38</v>
      </c>
      <c r="V25" s="280">
        <v>40</v>
      </c>
      <c r="W25" s="138">
        <v>38</v>
      </c>
      <c r="X25" s="139">
        <v>51</v>
      </c>
      <c r="Y25" s="136">
        <v>61</v>
      </c>
      <c r="Z25" s="136">
        <v>22</v>
      </c>
      <c r="AA25" s="137">
        <v>67</v>
      </c>
      <c r="AB25" s="278">
        <v>102</v>
      </c>
      <c r="AC25" s="281">
        <v>37</v>
      </c>
      <c r="AD25" s="136">
        <v>293</v>
      </c>
      <c r="AE25" s="279">
        <v>63</v>
      </c>
      <c r="AF25" s="280">
        <v>76</v>
      </c>
      <c r="AG25" s="278">
        <v>154</v>
      </c>
      <c r="AH25" s="281">
        <v>100</v>
      </c>
      <c r="AI25" s="279">
        <v>473</v>
      </c>
      <c r="AJ25" s="279">
        <v>95</v>
      </c>
      <c r="AK25" s="280">
        <v>159</v>
      </c>
    </row>
    <row r="26" spans="1:37" ht="14.15" customHeight="1" x14ac:dyDescent="0.3">
      <c r="A26" s="141" t="s">
        <v>21</v>
      </c>
      <c r="B26" s="331">
        <v>44926</v>
      </c>
      <c r="C26" s="138">
        <v>80</v>
      </c>
      <c r="D26" s="136">
        <v>74</v>
      </c>
      <c r="E26" s="136">
        <v>1397</v>
      </c>
      <c r="F26" s="136">
        <v>60</v>
      </c>
      <c r="G26" s="137">
        <v>94</v>
      </c>
      <c r="H26" s="278">
        <v>361</v>
      </c>
      <c r="I26" s="279">
        <v>226</v>
      </c>
      <c r="J26" s="279">
        <v>1397</v>
      </c>
      <c r="K26" s="136">
        <v>264</v>
      </c>
      <c r="L26" s="137">
        <v>323</v>
      </c>
      <c r="M26" s="138">
        <v>90</v>
      </c>
      <c r="N26" s="139">
        <v>18</v>
      </c>
      <c r="O26" s="136"/>
      <c r="P26" s="136">
        <v>59</v>
      </c>
      <c r="Q26" s="136">
        <v>49</v>
      </c>
      <c r="R26" s="278">
        <v>245</v>
      </c>
      <c r="S26" s="281">
        <v>45</v>
      </c>
      <c r="T26" s="136">
        <v>94</v>
      </c>
      <c r="U26" s="279">
        <v>150</v>
      </c>
      <c r="V26" s="280">
        <v>140</v>
      </c>
      <c r="W26" s="138">
        <v>80</v>
      </c>
      <c r="X26" s="139">
        <v>116</v>
      </c>
      <c r="Y26" s="136">
        <v>216</v>
      </c>
      <c r="Z26" s="136">
        <v>64</v>
      </c>
      <c r="AA26" s="137">
        <v>132</v>
      </c>
      <c r="AB26" s="278">
        <v>271</v>
      </c>
      <c r="AC26" s="281">
        <v>101</v>
      </c>
      <c r="AD26" s="136">
        <v>865</v>
      </c>
      <c r="AE26" s="279">
        <v>190</v>
      </c>
      <c r="AF26" s="280">
        <v>182</v>
      </c>
      <c r="AG26" s="278">
        <v>403</v>
      </c>
      <c r="AH26" s="281">
        <v>254</v>
      </c>
      <c r="AI26" s="279">
        <v>1420</v>
      </c>
      <c r="AJ26" s="279">
        <v>286</v>
      </c>
      <c r="AK26" s="280">
        <v>371</v>
      </c>
    </row>
    <row r="27" spans="1:37" ht="14.15" customHeight="1" x14ac:dyDescent="0.3">
      <c r="A27" s="141" t="s">
        <v>22</v>
      </c>
      <c r="B27" s="331">
        <v>44926</v>
      </c>
      <c r="C27" s="138">
        <v>67</v>
      </c>
      <c r="D27" s="136">
        <v>95</v>
      </c>
      <c r="E27" s="136">
        <v>824</v>
      </c>
      <c r="F27" s="136">
        <v>39</v>
      </c>
      <c r="G27" s="137">
        <v>123</v>
      </c>
      <c r="H27" s="278">
        <v>275</v>
      </c>
      <c r="I27" s="279">
        <v>220</v>
      </c>
      <c r="J27" s="279">
        <v>824</v>
      </c>
      <c r="K27" s="136">
        <v>187</v>
      </c>
      <c r="L27" s="137">
        <v>308</v>
      </c>
      <c r="M27" s="138">
        <v>47</v>
      </c>
      <c r="N27" s="139">
        <v>23</v>
      </c>
      <c r="O27" s="136"/>
      <c r="P27" s="136">
        <v>30</v>
      </c>
      <c r="Q27" s="136">
        <v>40</v>
      </c>
      <c r="R27" s="278">
        <v>107</v>
      </c>
      <c r="S27" s="281">
        <v>31</v>
      </c>
      <c r="T27" s="136">
        <v>60</v>
      </c>
      <c r="U27" s="279">
        <v>60</v>
      </c>
      <c r="V27" s="280">
        <v>78</v>
      </c>
      <c r="W27" s="138">
        <v>51</v>
      </c>
      <c r="X27" s="139">
        <v>139</v>
      </c>
      <c r="Y27" s="136">
        <v>121</v>
      </c>
      <c r="Z27" s="136">
        <v>41</v>
      </c>
      <c r="AA27" s="137">
        <v>149</v>
      </c>
      <c r="AB27" s="278">
        <v>221</v>
      </c>
      <c r="AC27" s="281">
        <v>75</v>
      </c>
      <c r="AD27" s="136">
        <v>466</v>
      </c>
      <c r="AE27" s="279">
        <v>143</v>
      </c>
      <c r="AF27" s="280">
        <v>153</v>
      </c>
      <c r="AG27" s="278">
        <v>294</v>
      </c>
      <c r="AH27" s="281">
        <v>250</v>
      </c>
      <c r="AI27" s="279">
        <v>833</v>
      </c>
      <c r="AJ27" s="279">
        <v>203</v>
      </c>
      <c r="AK27" s="280">
        <v>341</v>
      </c>
    </row>
    <row r="28" spans="1:37" ht="14.15" customHeight="1" x14ac:dyDescent="0.3">
      <c r="A28" s="141" t="s">
        <v>23</v>
      </c>
      <c r="B28" s="331">
        <v>44926</v>
      </c>
      <c r="C28" s="138">
        <v>46</v>
      </c>
      <c r="D28" s="136">
        <v>78</v>
      </c>
      <c r="E28" s="136">
        <v>1239</v>
      </c>
      <c r="F28" s="136">
        <v>42</v>
      </c>
      <c r="G28" s="137">
        <v>82</v>
      </c>
      <c r="H28" s="278">
        <v>173</v>
      </c>
      <c r="I28" s="279">
        <v>198</v>
      </c>
      <c r="J28" s="279">
        <v>1239</v>
      </c>
      <c r="K28" s="136">
        <v>137</v>
      </c>
      <c r="L28" s="137">
        <v>234</v>
      </c>
      <c r="M28" s="138">
        <v>42</v>
      </c>
      <c r="N28" s="139">
        <v>31</v>
      </c>
      <c r="O28" s="136"/>
      <c r="P28" s="136">
        <v>30</v>
      </c>
      <c r="Q28" s="136">
        <v>43</v>
      </c>
      <c r="R28" s="278">
        <v>75</v>
      </c>
      <c r="S28" s="281">
        <v>27</v>
      </c>
      <c r="T28" s="136">
        <v>98</v>
      </c>
      <c r="U28" s="279">
        <v>47</v>
      </c>
      <c r="V28" s="280">
        <v>55</v>
      </c>
      <c r="W28" s="138">
        <v>31</v>
      </c>
      <c r="X28" s="139">
        <v>104</v>
      </c>
      <c r="Y28" s="136">
        <v>171</v>
      </c>
      <c r="Z28" s="136">
        <v>23</v>
      </c>
      <c r="AA28" s="137">
        <v>112</v>
      </c>
      <c r="AB28" s="278">
        <v>137</v>
      </c>
      <c r="AC28" s="281">
        <v>88</v>
      </c>
      <c r="AD28" s="136">
        <v>782</v>
      </c>
      <c r="AE28" s="279">
        <v>110</v>
      </c>
      <c r="AF28" s="280">
        <v>115</v>
      </c>
      <c r="AG28" s="278">
        <v>177</v>
      </c>
      <c r="AH28" s="281">
        <v>228</v>
      </c>
      <c r="AI28" s="279">
        <v>1279</v>
      </c>
      <c r="AJ28" s="279">
        <v>146</v>
      </c>
      <c r="AK28" s="280">
        <v>259</v>
      </c>
    </row>
    <row r="29" spans="1:37" ht="14.15" customHeight="1" x14ac:dyDescent="0.3">
      <c r="A29" s="141" t="s">
        <v>24</v>
      </c>
      <c r="B29" s="331">
        <v>44926</v>
      </c>
      <c r="C29" s="138">
        <v>68</v>
      </c>
      <c r="D29" s="136">
        <v>82</v>
      </c>
      <c r="E29" s="136">
        <v>1897</v>
      </c>
      <c r="F29" s="136">
        <v>43</v>
      </c>
      <c r="G29" s="137">
        <v>107</v>
      </c>
      <c r="H29" s="278">
        <v>248</v>
      </c>
      <c r="I29" s="279">
        <v>205</v>
      </c>
      <c r="J29" s="279">
        <v>1897</v>
      </c>
      <c r="K29" s="136">
        <v>171</v>
      </c>
      <c r="L29" s="137">
        <v>282</v>
      </c>
      <c r="M29" s="138">
        <v>71</v>
      </c>
      <c r="N29" s="139">
        <v>48</v>
      </c>
      <c r="O29" s="136"/>
      <c r="P29" s="136">
        <v>55</v>
      </c>
      <c r="Q29" s="136">
        <v>64</v>
      </c>
      <c r="R29" s="278">
        <v>126</v>
      </c>
      <c r="S29" s="281">
        <v>41</v>
      </c>
      <c r="T29" s="136">
        <v>157</v>
      </c>
      <c r="U29" s="279">
        <v>86</v>
      </c>
      <c r="V29" s="280">
        <v>81</v>
      </c>
      <c r="W29" s="138">
        <v>58</v>
      </c>
      <c r="X29" s="139">
        <v>118</v>
      </c>
      <c r="Y29" s="136">
        <v>257</v>
      </c>
      <c r="Z29" s="136">
        <v>42</v>
      </c>
      <c r="AA29" s="137">
        <v>134</v>
      </c>
      <c r="AB29" s="278">
        <v>183</v>
      </c>
      <c r="AC29" s="281">
        <v>80</v>
      </c>
      <c r="AD29" s="136">
        <v>1115</v>
      </c>
      <c r="AE29" s="279">
        <v>124</v>
      </c>
      <c r="AF29" s="280">
        <v>139</v>
      </c>
      <c r="AG29" s="278">
        <v>263</v>
      </c>
      <c r="AH29" s="281">
        <v>229</v>
      </c>
      <c r="AI29" s="279">
        <v>1922</v>
      </c>
      <c r="AJ29" s="279">
        <v>181</v>
      </c>
      <c r="AK29" s="280">
        <v>311</v>
      </c>
    </row>
    <row r="30" spans="1:37" ht="14.15" customHeight="1" x14ac:dyDescent="0.3">
      <c r="A30" s="141" t="s">
        <v>25</v>
      </c>
      <c r="B30" s="331">
        <v>44926</v>
      </c>
      <c r="C30" s="138">
        <v>10</v>
      </c>
      <c r="D30" s="136">
        <v>12</v>
      </c>
      <c r="E30" s="136">
        <v>186</v>
      </c>
      <c r="F30" s="136">
        <v>5</v>
      </c>
      <c r="G30" s="137">
        <v>17</v>
      </c>
      <c r="H30" s="278">
        <v>61</v>
      </c>
      <c r="I30" s="279">
        <v>51</v>
      </c>
      <c r="J30" s="279">
        <v>186</v>
      </c>
      <c r="K30" s="136">
        <v>40</v>
      </c>
      <c r="L30" s="137">
        <v>72</v>
      </c>
      <c r="M30" s="138">
        <v>12</v>
      </c>
      <c r="N30" s="139">
        <v>4</v>
      </c>
      <c r="O30" s="136"/>
      <c r="P30" s="136">
        <v>8</v>
      </c>
      <c r="Q30" s="136">
        <v>8</v>
      </c>
      <c r="R30" s="278">
        <v>28</v>
      </c>
      <c r="S30" s="281">
        <v>7</v>
      </c>
      <c r="T30" s="136">
        <v>15</v>
      </c>
      <c r="U30" s="279">
        <v>16</v>
      </c>
      <c r="V30" s="280">
        <v>19</v>
      </c>
      <c r="W30" s="138">
        <v>8</v>
      </c>
      <c r="X30" s="139">
        <v>30</v>
      </c>
      <c r="Y30" s="136">
        <v>26</v>
      </c>
      <c r="Z30" s="136">
        <v>8</v>
      </c>
      <c r="AA30" s="137">
        <v>30</v>
      </c>
      <c r="AB30" s="278">
        <v>52</v>
      </c>
      <c r="AC30" s="281">
        <v>20</v>
      </c>
      <c r="AD30" s="136">
        <v>116</v>
      </c>
      <c r="AE30" s="279">
        <v>32</v>
      </c>
      <c r="AF30" s="280">
        <v>40</v>
      </c>
      <c r="AG30" s="278">
        <v>70</v>
      </c>
      <c r="AH30" s="281">
        <v>54</v>
      </c>
      <c r="AI30" s="279">
        <v>186</v>
      </c>
      <c r="AJ30" s="279">
        <v>46</v>
      </c>
      <c r="AK30" s="280">
        <v>78</v>
      </c>
    </row>
    <row r="31" spans="1:37" ht="14.15" customHeight="1" x14ac:dyDescent="0.3">
      <c r="A31" s="141" t="s">
        <v>26</v>
      </c>
      <c r="B31" s="331">
        <v>44926</v>
      </c>
      <c r="C31" s="138">
        <v>250</v>
      </c>
      <c r="D31" s="136">
        <v>213</v>
      </c>
      <c r="E31" s="136">
        <v>4229</v>
      </c>
      <c r="F31" s="136">
        <v>171</v>
      </c>
      <c r="G31" s="137">
        <v>292</v>
      </c>
      <c r="H31" s="278">
        <v>861</v>
      </c>
      <c r="I31" s="279">
        <v>648</v>
      </c>
      <c r="J31" s="279">
        <v>4229</v>
      </c>
      <c r="K31" s="136">
        <v>625</v>
      </c>
      <c r="L31" s="137">
        <v>884</v>
      </c>
      <c r="M31" s="138">
        <v>141</v>
      </c>
      <c r="N31" s="139">
        <v>86</v>
      </c>
      <c r="O31" s="136"/>
      <c r="P31" s="136">
        <v>121</v>
      </c>
      <c r="Q31" s="136">
        <v>106</v>
      </c>
      <c r="R31" s="278">
        <v>573</v>
      </c>
      <c r="S31" s="281">
        <v>188</v>
      </c>
      <c r="T31" s="136">
        <v>325</v>
      </c>
      <c r="U31" s="279">
        <v>377</v>
      </c>
      <c r="V31" s="280">
        <v>384</v>
      </c>
      <c r="W31" s="138">
        <v>160</v>
      </c>
      <c r="X31" s="139">
        <v>320</v>
      </c>
      <c r="Y31" s="136">
        <v>664</v>
      </c>
      <c r="Z31" s="136">
        <v>112</v>
      </c>
      <c r="AA31" s="137">
        <v>368</v>
      </c>
      <c r="AB31" s="278">
        <v>688</v>
      </c>
      <c r="AC31" s="281">
        <v>305</v>
      </c>
      <c r="AD31" s="136">
        <v>2510</v>
      </c>
      <c r="AE31" s="279">
        <v>494</v>
      </c>
      <c r="AF31" s="280">
        <v>499</v>
      </c>
      <c r="AG31" s="278">
        <v>912</v>
      </c>
      <c r="AH31" s="281">
        <v>703</v>
      </c>
      <c r="AI31" s="279">
        <v>4299</v>
      </c>
      <c r="AJ31" s="279">
        <v>667</v>
      </c>
      <c r="AK31" s="280">
        <v>948</v>
      </c>
    </row>
    <row r="32" spans="1:37" ht="14.15" customHeight="1" x14ac:dyDescent="0.3">
      <c r="A32" s="141" t="s">
        <v>27</v>
      </c>
      <c r="B32" s="331">
        <v>44926</v>
      </c>
      <c r="C32" s="138">
        <v>110</v>
      </c>
      <c r="D32" s="136">
        <v>105</v>
      </c>
      <c r="E32" s="136">
        <v>1505</v>
      </c>
      <c r="F32" s="136">
        <v>73</v>
      </c>
      <c r="G32" s="137">
        <v>142</v>
      </c>
      <c r="H32" s="278">
        <v>371</v>
      </c>
      <c r="I32" s="279">
        <v>303</v>
      </c>
      <c r="J32" s="279">
        <v>1505</v>
      </c>
      <c r="K32" s="136">
        <v>291</v>
      </c>
      <c r="L32" s="137">
        <v>383</v>
      </c>
      <c r="M32" s="138">
        <v>64</v>
      </c>
      <c r="N32" s="139">
        <v>49</v>
      </c>
      <c r="O32" s="136"/>
      <c r="P32" s="136">
        <v>54</v>
      </c>
      <c r="Q32" s="136">
        <v>59</v>
      </c>
      <c r="R32" s="278">
        <v>206</v>
      </c>
      <c r="S32" s="281">
        <v>75</v>
      </c>
      <c r="T32" s="136">
        <v>107</v>
      </c>
      <c r="U32" s="279">
        <v>145</v>
      </c>
      <c r="V32" s="280">
        <v>136</v>
      </c>
      <c r="W32" s="138">
        <v>64</v>
      </c>
      <c r="X32" s="139">
        <v>138</v>
      </c>
      <c r="Y32" s="136">
        <v>198</v>
      </c>
      <c r="Z32" s="136">
        <v>53</v>
      </c>
      <c r="AA32" s="137">
        <v>149</v>
      </c>
      <c r="AB32" s="278">
        <v>296</v>
      </c>
      <c r="AC32" s="281">
        <v>152</v>
      </c>
      <c r="AD32" s="136">
        <v>995</v>
      </c>
      <c r="AE32" s="279">
        <v>223</v>
      </c>
      <c r="AF32" s="280">
        <v>225</v>
      </c>
      <c r="AG32" s="278">
        <v>409</v>
      </c>
      <c r="AH32" s="281">
        <v>331</v>
      </c>
      <c r="AI32" s="279">
        <v>1529</v>
      </c>
      <c r="AJ32" s="279">
        <v>311</v>
      </c>
      <c r="AK32" s="280">
        <v>429</v>
      </c>
    </row>
    <row r="33" spans="1:37" ht="14.15" customHeight="1" x14ac:dyDescent="0.3">
      <c r="A33" s="141" t="s">
        <v>28</v>
      </c>
      <c r="B33" s="331">
        <v>44926</v>
      </c>
      <c r="C33" s="138">
        <v>45</v>
      </c>
      <c r="D33" s="136">
        <v>35</v>
      </c>
      <c r="E33" s="136">
        <v>652</v>
      </c>
      <c r="F33" s="136">
        <v>30</v>
      </c>
      <c r="G33" s="137">
        <v>50</v>
      </c>
      <c r="H33" s="278">
        <v>158</v>
      </c>
      <c r="I33" s="279">
        <v>104</v>
      </c>
      <c r="J33" s="279">
        <v>652</v>
      </c>
      <c r="K33" s="136">
        <v>114</v>
      </c>
      <c r="L33" s="137">
        <v>148</v>
      </c>
      <c r="M33" s="138">
        <v>34</v>
      </c>
      <c r="N33" s="139">
        <v>14</v>
      </c>
      <c r="O33" s="136"/>
      <c r="P33" s="136">
        <v>23</v>
      </c>
      <c r="Q33" s="136">
        <v>25</v>
      </c>
      <c r="R33" s="278">
        <v>95</v>
      </c>
      <c r="S33" s="281">
        <v>19</v>
      </c>
      <c r="T33" s="136">
        <v>42</v>
      </c>
      <c r="U33" s="279">
        <v>51</v>
      </c>
      <c r="V33" s="280">
        <v>63</v>
      </c>
      <c r="W33" s="138">
        <v>31</v>
      </c>
      <c r="X33" s="139">
        <v>42</v>
      </c>
      <c r="Y33" s="136">
        <v>81</v>
      </c>
      <c r="Z33" s="136">
        <v>22</v>
      </c>
      <c r="AA33" s="137">
        <v>51</v>
      </c>
      <c r="AB33" s="278">
        <v>124</v>
      </c>
      <c r="AC33" s="281">
        <v>60</v>
      </c>
      <c r="AD33" s="136">
        <v>378</v>
      </c>
      <c r="AE33" s="279">
        <v>90</v>
      </c>
      <c r="AF33" s="280">
        <v>94</v>
      </c>
      <c r="AG33" s="278">
        <v>167</v>
      </c>
      <c r="AH33" s="281">
        <v>109</v>
      </c>
      <c r="AI33" s="279">
        <v>660</v>
      </c>
      <c r="AJ33" s="279">
        <v>119</v>
      </c>
      <c r="AK33" s="280">
        <v>157</v>
      </c>
    </row>
    <row r="34" spans="1:37" ht="14.15" customHeight="1" x14ac:dyDescent="0.3">
      <c r="A34" s="141" t="s">
        <v>29</v>
      </c>
      <c r="B34" s="331">
        <v>44926</v>
      </c>
      <c r="C34" s="138">
        <v>303</v>
      </c>
      <c r="D34" s="136">
        <v>398</v>
      </c>
      <c r="E34" s="136">
        <v>8268</v>
      </c>
      <c r="F34" s="136">
        <v>199</v>
      </c>
      <c r="G34" s="137">
        <v>502</v>
      </c>
      <c r="H34" s="278">
        <v>1592</v>
      </c>
      <c r="I34" s="279">
        <v>1148</v>
      </c>
      <c r="J34" s="279">
        <v>8267</v>
      </c>
      <c r="K34" s="136">
        <v>1111</v>
      </c>
      <c r="L34" s="137">
        <v>1629</v>
      </c>
      <c r="M34" s="138">
        <v>336</v>
      </c>
      <c r="N34" s="139">
        <v>140</v>
      </c>
      <c r="O34" s="136"/>
      <c r="P34" s="136">
        <v>231</v>
      </c>
      <c r="Q34" s="136">
        <v>245</v>
      </c>
      <c r="R34" s="278">
        <v>853</v>
      </c>
      <c r="S34" s="281">
        <v>283</v>
      </c>
      <c r="T34" s="136">
        <v>467</v>
      </c>
      <c r="U34" s="279">
        <v>549</v>
      </c>
      <c r="V34" s="280">
        <v>587</v>
      </c>
      <c r="W34" s="138">
        <v>274</v>
      </c>
      <c r="X34" s="139">
        <v>621</v>
      </c>
      <c r="Y34" s="136">
        <v>1463</v>
      </c>
      <c r="Z34" s="136">
        <v>189</v>
      </c>
      <c r="AA34" s="137">
        <v>706</v>
      </c>
      <c r="AB34" s="278">
        <v>1274</v>
      </c>
      <c r="AC34" s="281">
        <v>460</v>
      </c>
      <c r="AD34" s="136">
        <v>4968</v>
      </c>
      <c r="AE34" s="279">
        <v>866</v>
      </c>
      <c r="AF34" s="280">
        <v>868</v>
      </c>
      <c r="AG34" s="278">
        <v>1707</v>
      </c>
      <c r="AH34" s="281">
        <v>1293</v>
      </c>
      <c r="AI34" s="279">
        <v>8378</v>
      </c>
      <c r="AJ34" s="279">
        <v>1197</v>
      </c>
      <c r="AK34" s="280">
        <v>1803</v>
      </c>
    </row>
    <row r="35" spans="1:37" ht="14.15" customHeight="1" x14ac:dyDescent="0.3"/>
    <row r="36" spans="1:37" s="226" customFormat="1" ht="14.15" hidden="1" customHeight="1" x14ac:dyDescent="0.3">
      <c r="A36" s="227" t="s">
        <v>40</v>
      </c>
      <c r="B36" s="229"/>
      <c r="C36" s="228">
        <f>SUM(C8:D8)</f>
        <v>4906</v>
      </c>
      <c r="D36" s="229"/>
      <c r="E36" s="229"/>
      <c r="F36" s="228">
        <f>SUM(F8:G8)</f>
        <v>4906</v>
      </c>
      <c r="G36" s="229"/>
      <c r="H36" s="228">
        <f>SUM(H8:I8)</f>
        <v>17184</v>
      </c>
      <c r="I36" s="229"/>
      <c r="J36" s="229"/>
      <c r="K36" s="228">
        <f>SUM(K8:L8)</f>
        <v>17184</v>
      </c>
      <c r="L36" s="229"/>
      <c r="M36" s="227">
        <f>SUM(M8:N8)</f>
        <v>2949</v>
      </c>
      <c r="N36" s="229"/>
      <c r="O36" s="229"/>
      <c r="P36" s="227">
        <f>SUM(P8:Q8)</f>
        <v>2949</v>
      </c>
      <c r="Q36" s="229"/>
      <c r="R36" s="227">
        <f>SUM(R8:S8)</f>
        <v>7134</v>
      </c>
      <c r="S36" s="229"/>
      <c r="T36" s="229"/>
      <c r="U36" s="227">
        <f>SUM(U8:V8)</f>
        <v>7134</v>
      </c>
      <c r="V36" s="229"/>
      <c r="W36" s="227">
        <f>SUM(W8:X8)</f>
        <v>5563</v>
      </c>
      <c r="X36" s="229"/>
      <c r="Y36" s="229"/>
      <c r="Z36" s="227">
        <f>SUM(Z8:AA8)</f>
        <v>5563</v>
      </c>
      <c r="AA36" s="229"/>
      <c r="AB36" s="227">
        <f>SUM(AB8:AC8)</f>
        <v>11007</v>
      </c>
      <c r="AC36" s="229"/>
      <c r="AD36" s="229"/>
      <c r="AE36" s="227">
        <f>SUM(AE8:AF8)</f>
        <v>11007</v>
      </c>
      <c r="AF36" s="229"/>
      <c r="AG36" s="227">
        <f>SUM(AG8:AH8)</f>
        <v>18759</v>
      </c>
      <c r="AH36" s="229"/>
      <c r="AI36" s="229"/>
      <c r="AJ36" s="227">
        <f>SUM(AJ8:AK8)</f>
        <v>18759</v>
      </c>
      <c r="AK36" s="229"/>
    </row>
    <row r="37" spans="1:37" ht="14.15" customHeight="1" x14ac:dyDescent="0.3"/>
    <row r="38" spans="1:37" ht="14.15" customHeight="1" x14ac:dyDescent="0.3"/>
    <row r="39" spans="1:37" ht="14.15" customHeight="1" x14ac:dyDescent="0.3"/>
    <row r="40" spans="1:37" ht="14.15" customHeight="1" x14ac:dyDescent="0.3"/>
    <row r="41" spans="1:37" ht="14.15" customHeight="1" x14ac:dyDescent="0.3"/>
    <row r="42" spans="1:37" ht="14.15" customHeight="1" x14ac:dyDescent="0.3"/>
    <row r="43" spans="1:37" ht="14.15" customHeight="1" x14ac:dyDescent="0.3"/>
    <row r="44" spans="1:37" ht="14.15" customHeight="1" x14ac:dyDescent="0.3"/>
    <row r="45" spans="1:37" ht="14.15" customHeight="1" x14ac:dyDescent="0.3"/>
    <row r="46" spans="1:37" ht="14.15" customHeight="1" x14ac:dyDescent="0.3"/>
    <row r="47" spans="1:37" ht="14.15" customHeight="1" x14ac:dyDescent="0.3"/>
    <row r="48" spans="1:37" ht="14.15" customHeight="1" x14ac:dyDescent="0.3"/>
    <row r="49" ht="14.15" customHeight="1" x14ac:dyDescent="0.3"/>
    <row r="50" ht="14.15" customHeight="1" x14ac:dyDescent="0.3"/>
    <row r="51" ht="14.15" customHeight="1" x14ac:dyDescent="0.3"/>
    <row r="52" ht="14.15" customHeight="1" x14ac:dyDescent="0.3"/>
  </sheetData>
  <sheetProtection algorithmName="SHA-512" hashValue="RObrEFcTG+pYT9jZXcoWhaPEZZf/AsIyKi0CKNVKBE0oRYOvNeJvuNn1buKTp5Ny+CYHeS8gjXpD0ES2czzysw==" saltValue="DJn9l/dc+kaWQiz9MDTCwA==" spinCount="100000" sheet="1" selectLockedCells="1" selectUnlockedCells="1"/>
  <customSheetViews>
    <customSheetView guid="{168849A9-FED9-4458-942F-290616B3A25C}" scale="60" showPageBreaks="1" showGridLines="0" printArea="1" hiddenRows="1">
      <selection activeCell="A3" sqref="A3:N3"/>
      <pageMargins left="0.70866141732283472" right="0.70866141732283472" top="1.3779527559055118" bottom="0.78740157480314965" header="0.31496062992125984" footer="0.31496062992125984"/>
      <pageSetup paperSize="8" scale="95" orientation="landscape" horizontalDpi="90" verticalDpi="90" r:id="rId1"/>
      <headerFooter>
        <oddHeader>&amp;LKennzahlen KIP / IAS&amp;R&amp;G</oddHeader>
        <oddFooter>&amp;L&amp;A&amp;R&amp;P</oddFooter>
      </headerFooter>
    </customSheetView>
  </customSheetViews>
  <mergeCells count="18">
    <mergeCell ref="A3:Q3"/>
    <mergeCell ref="A1:Q1"/>
    <mergeCell ref="A5:A7"/>
    <mergeCell ref="B5:B7"/>
    <mergeCell ref="H5:L5"/>
    <mergeCell ref="M5:Q5"/>
    <mergeCell ref="C5:G5"/>
    <mergeCell ref="C6:G6"/>
    <mergeCell ref="W6:AA6"/>
    <mergeCell ref="AG6:AK6"/>
    <mergeCell ref="AG5:AK5"/>
    <mergeCell ref="H6:L6"/>
    <mergeCell ref="M6:Q6"/>
    <mergeCell ref="R6:V6"/>
    <mergeCell ref="R5:V5"/>
    <mergeCell ref="W5:AA5"/>
    <mergeCell ref="AB5:AF5"/>
    <mergeCell ref="AB6:AF6"/>
  </mergeCells>
  <pageMargins left="0.70866141732283472" right="0.70866141732283472" top="1.3779527559055118" bottom="0.78740157480314965" header="0.31496062992125984" footer="0.31496062992125984"/>
  <pageSetup paperSize="8" scale="95" orientation="landscape" horizontalDpi="90" verticalDpi="90" r:id="rId2"/>
  <headerFooter>
    <oddHeader>&amp;LKennzahlen KIP / IAS&amp;R&amp;G</oddHeader>
    <oddFooter>&amp;L&amp;A&amp;R&amp;P</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theme="0" tint="-0.499984740745262"/>
    <pageSetUpPr fitToPage="1"/>
  </sheetPr>
  <dimension ref="B1:G31"/>
  <sheetViews>
    <sheetView showGridLines="0" tabSelected="1" zoomScale="75" zoomScaleNormal="75" workbookViewId="0">
      <selection activeCell="C30" sqref="C30:G30"/>
    </sheetView>
  </sheetViews>
  <sheetFormatPr baseColWidth="10" defaultColWidth="10.58203125" defaultRowHeight="14" x14ac:dyDescent="0.3"/>
  <cols>
    <col min="1" max="1" width="2.08203125" style="215" customWidth="1"/>
    <col min="2" max="2" width="14.58203125" style="215" customWidth="1"/>
    <col min="3" max="3" width="26" style="215" customWidth="1"/>
    <col min="4" max="4" width="71.5" style="215" customWidth="1"/>
    <col min="5" max="6" width="10.58203125" style="215"/>
    <col min="7" max="7" width="29.5" style="215" customWidth="1"/>
    <col min="8" max="8" width="2.08203125" style="215" customWidth="1"/>
    <col min="9" max="16384" width="10.58203125" style="215"/>
  </cols>
  <sheetData>
    <row r="1" spans="2:7" ht="30.5" thickBot="1" x14ac:dyDescent="0.35">
      <c r="B1" s="363" t="s">
        <v>182</v>
      </c>
      <c r="C1" s="364"/>
      <c r="D1" s="365"/>
    </row>
    <row r="2" spans="2:7" ht="14.5" thickBot="1" x14ac:dyDescent="0.35"/>
    <row r="3" spans="2:7" ht="28.5" customHeight="1" x14ac:dyDescent="0.6">
      <c r="B3" s="366" t="s">
        <v>44</v>
      </c>
      <c r="C3" s="367"/>
      <c r="D3" s="216" t="s">
        <v>45</v>
      </c>
    </row>
    <row r="4" spans="2:7" ht="28.5" customHeight="1" thickBot="1" x14ac:dyDescent="0.6">
      <c r="B4" s="368"/>
      <c r="C4" s="369"/>
      <c r="D4" s="347" t="s">
        <v>38</v>
      </c>
    </row>
    <row r="5" spans="2:7" ht="18.649999999999999" customHeight="1" thickBot="1" x14ac:dyDescent="0.65">
      <c r="C5" s="217"/>
      <c r="D5" s="218"/>
    </row>
    <row r="6" spans="2:7" ht="28.5" customHeight="1" thickBot="1" x14ac:dyDescent="0.35">
      <c r="B6" s="360" t="s">
        <v>46</v>
      </c>
      <c r="C6" s="361"/>
      <c r="D6" s="362"/>
    </row>
    <row r="7" spans="2:7" ht="28.5" customHeight="1" thickBot="1" x14ac:dyDescent="0.35">
      <c r="B7" s="370"/>
      <c r="C7" s="371"/>
      <c r="D7" s="332"/>
    </row>
    <row r="8" spans="2:7" ht="14.5" thickBot="1" x14ac:dyDescent="0.35"/>
    <row r="9" spans="2:7" ht="28.5" customHeight="1" x14ac:dyDescent="0.3">
      <c r="B9" s="360" t="s">
        <v>47</v>
      </c>
      <c r="C9" s="361"/>
      <c r="D9" s="362"/>
    </row>
    <row r="10" spans="2:7" ht="28.5" customHeight="1" thickBot="1" x14ac:dyDescent="0.35">
      <c r="B10" s="219" t="s">
        <v>48</v>
      </c>
      <c r="C10" s="372"/>
      <c r="D10" s="373"/>
    </row>
    <row r="11" spans="2:7" ht="28.5" customHeight="1" thickBot="1" x14ac:dyDescent="0.35">
      <c r="B11" s="220" t="s">
        <v>49</v>
      </c>
      <c r="C11" s="374"/>
      <c r="D11" s="375"/>
    </row>
    <row r="12" spans="2:7" ht="28.5" customHeight="1" thickBot="1" x14ac:dyDescent="0.35">
      <c r="B12" s="220" t="s">
        <v>50</v>
      </c>
      <c r="C12" s="374"/>
      <c r="D12" s="375"/>
    </row>
    <row r="14" spans="2:7" ht="14.5" thickBot="1" x14ac:dyDescent="0.35"/>
    <row r="15" spans="2:7" ht="25.5" thickBot="1" x14ac:dyDescent="0.55000000000000004">
      <c r="B15" s="221" t="s">
        <v>30</v>
      </c>
      <c r="C15" s="358" t="s">
        <v>31</v>
      </c>
      <c r="D15" s="359"/>
      <c r="E15" s="359"/>
      <c r="F15" s="359"/>
      <c r="G15" s="286"/>
    </row>
    <row r="16" spans="2:7" ht="23.15" customHeight="1" x14ac:dyDescent="0.3">
      <c r="B16" s="285">
        <v>1</v>
      </c>
      <c r="C16" s="355" t="s">
        <v>51</v>
      </c>
      <c r="D16" s="356"/>
      <c r="E16" s="356"/>
      <c r="F16" s="356"/>
      <c r="G16" s="357"/>
    </row>
    <row r="17" spans="2:7" ht="22.5" x14ac:dyDescent="0.3">
      <c r="B17" s="287">
        <v>2</v>
      </c>
      <c r="C17" s="349" t="s">
        <v>52</v>
      </c>
      <c r="D17" s="350"/>
      <c r="E17" s="350"/>
      <c r="F17" s="350"/>
      <c r="G17" s="351"/>
    </row>
    <row r="18" spans="2:7" ht="23.15" customHeight="1" x14ac:dyDescent="0.3">
      <c r="B18" s="222">
        <v>3</v>
      </c>
      <c r="C18" s="349" t="s">
        <v>53</v>
      </c>
      <c r="D18" s="350"/>
      <c r="E18" s="350"/>
      <c r="F18" s="350"/>
      <c r="G18" s="351"/>
    </row>
    <row r="19" spans="2:7" ht="23.25" customHeight="1" x14ac:dyDescent="0.3">
      <c r="B19" s="223">
        <v>4</v>
      </c>
      <c r="C19" s="349" t="s">
        <v>54</v>
      </c>
      <c r="D19" s="350"/>
      <c r="E19" s="350"/>
      <c r="F19" s="350"/>
      <c r="G19" s="351"/>
    </row>
    <row r="20" spans="2:7" ht="23.25" customHeight="1" x14ac:dyDescent="0.3">
      <c r="B20" s="223">
        <v>5</v>
      </c>
      <c r="C20" s="349" t="s">
        <v>55</v>
      </c>
      <c r="D20" s="350"/>
      <c r="E20" s="350"/>
      <c r="F20" s="350"/>
      <c r="G20" s="351"/>
    </row>
    <row r="21" spans="2:7" ht="23.25" customHeight="1" x14ac:dyDescent="0.3">
      <c r="B21" s="223">
        <v>6</v>
      </c>
      <c r="C21" s="349" t="s">
        <v>56</v>
      </c>
      <c r="D21" s="350"/>
      <c r="E21" s="350"/>
      <c r="F21" s="350"/>
      <c r="G21" s="351"/>
    </row>
    <row r="22" spans="2:7" ht="23.25" customHeight="1" x14ac:dyDescent="0.3">
      <c r="B22" s="223">
        <v>7</v>
      </c>
      <c r="C22" s="349" t="s">
        <v>57</v>
      </c>
      <c r="D22" s="350"/>
      <c r="E22" s="350"/>
      <c r="F22" s="350"/>
      <c r="G22" s="351"/>
    </row>
    <row r="23" spans="2:7" ht="23.25" customHeight="1" x14ac:dyDescent="0.3">
      <c r="B23" s="223">
        <v>8</v>
      </c>
      <c r="C23" s="349" t="s">
        <v>183</v>
      </c>
      <c r="D23" s="350"/>
      <c r="E23" s="350"/>
      <c r="F23" s="350"/>
      <c r="G23" s="351"/>
    </row>
    <row r="24" spans="2:7" ht="23.25" customHeight="1" x14ac:dyDescent="0.3">
      <c r="B24" s="223">
        <v>9</v>
      </c>
      <c r="C24" s="349" t="s">
        <v>58</v>
      </c>
      <c r="D24" s="350"/>
      <c r="E24" s="350"/>
      <c r="F24" s="350"/>
      <c r="G24" s="351"/>
    </row>
    <row r="25" spans="2:7" ht="23.25" customHeight="1" x14ac:dyDescent="0.3">
      <c r="B25" s="223">
        <v>10</v>
      </c>
      <c r="C25" s="349" t="s">
        <v>59</v>
      </c>
      <c r="D25" s="350"/>
      <c r="E25" s="350"/>
      <c r="F25" s="350"/>
      <c r="G25" s="351"/>
    </row>
    <row r="26" spans="2:7" ht="23.25" customHeight="1" x14ac:dyDescent="0.3">
      <c r="B26" s="223">
        <v>11</v>
      </c>
      <c r="C26" s="349" t="s">
        <v>60</v>
      </c>
      <c r="D26" s="350"/>
      <c r="E26" s="350"/>
      <c r="F26" s="350"/>
      <c r="G26" s="351"/>
    </row>
    <row r="27" spans="2:7" ht="23.25" customHeight="1" x14ac:dyDescent="0.3">
      <c r="B27" s="223">
        <v>12</v>
      </c>
      <c r="C27" s="349" t="s">
        <v>61</v>
      </c>
      <c r="D27" s="350"/>
      <c r="E27" s="350"/>
      <c r="F27" s="350"/>
      <c r="G27" s="351"/>
    </row>
    <row r="28" spans="2:7" ht="23.25" customHeight="1" x14ac:dyDescent="0.3">
      <c r="B28" s="223">
        <v>13</v>
      </c>
      <c r="C28" s="349" t="s">
        <v>62</v>
      </c>
      <c r="D28" s="350"/>
      <c r="E28" s="350"/>
      <c r="F28" s="350"/>
      <c r="G28" s="351"/>
    </row>
    <row r="29" spans="2:7" ht="23.25" customHeight="1" x14ac:dyDescent="0.3">
      <c r="B29" s="223">
        <v>14</v>
      </c>
      <c r="C29" s="349" t="s">
        <v>63</v>
      </c>
      <c r="D29" s="350"/>
      <c r="E29" s="350"/>
      <c r="F29" s="350"/>
      <c r="G29" s="351"/>
    </row>
    <row r="30" spans="2:7" ht="23.25" customHeight="1" thickBot="1" x14ac:dyDescent="0.35">
      <c r="B30" s="348">
        <v>15</v>
      </c>
      <c r="C30" s="352" t="s">
        <v>64</v>
      </c>
      <c r="D30" s="353"/>
      <c r="E30" s="353"/>
      <c r="F30" s="353"/>
      <c r="G30" s="354"/>
    </row>
    <row r="31" spans="2:7" ht="23.5" customHeight="1" x14ac:dyDescent="0.3"/>
  </sheetData>
  <sheetProtection algorithmName="SHA-512" hashValue="oHeIp5GulBoA/lcqYbh1VyENtfRpjFrYueAf+GAVC9YLsTW/kz8KhCEW8EG1sAcY3rQHDLGK/SWB0NGzsFUkxw==" saltValue="HUaWp8yzdFRNuLWGFZ3VYA==" spinCount="100000" sheet="1" selectLockedCells="1"/>
  <customSheetViews>
    <customSheetView guid="{168849A9-FED9-4458-942F-290616B3A25C}" scale="60" showPageBreaks="1" showGridLines="0" fitToPage="1" printArea="1" topLeftCell="A10">
      <selection activeCell="M12" sqref="M12"/>
      <pageMargins left="0.70866141732283472" right="0.70866141732283472" top="1.1811023622047245" bottom="0.78740157480314965" header="0.31496062992125984" footer="0.31496062992125984"/>
      <pageSetup paperSize="9" scale="63" orientation="portrait" horizontalDpi="90" verticalDpi="90" r:id="rId1"/>
      <headerFooter>
        <oddHeader>&amp;LKennzahlenraster KIP IAS&amp;R&amp;G</oddHeader>
        <oddFooter>&amp;L&amp;A&amp;R&amp;P</oddFooter>
      </headerFooter>
    </customSheetView>
  </customSheetViews>
  <mergeCells count="25">
    <mergeCell ref="C16:G16"/>
    <mergeCell ref="C15:F15"/>
    <mergeCell ref="B9:D9"/>
    <mergeCell ref="B1:D1"/>
    <mergeCell ref="B3:C3"/>
    <mergeCell ref="B6:D6"/>
    <mergeCell ref="B4:C4"/>
    <mergeCell ref="B7:C7"/>
    <mergeCell ref="C10:D10"/>
    <mergeCell ref="C11:D11"/>
    <mergeCell ref="C12:D12"/>
    <mergeCell ref="C17:G17"/>
    <mergeCell ref="C18:G18"/>
    <mergeCell ref="C19:G19"/>
    <mergeCell ref="C20:G20"/>
    <mergeCell ref="C21:G21"/>
    <mergeCell ref="C27:G27"/>
    <mergeCell ref="C28:G28"/>
    <mergeCell ref="C29:G29"/>
    <mergeCell ref="C30:G30"/>
    <mergeCell ref="C22:G22"/>
    <mergeCell ref="C23:G23"/>
    <mergeCell ref="C24:G24"/>
    <mergeCell ref="C25:G25"/>
    <mergeCell ref="C26:G26"/>
  </mergeCells>
  <dataValidations xWindow="391" yWindow="600" count="3">
    <dataValidation showInputMessage="1" showErrorMessage="1" errorTitle="Freigabe" error="Bitte Name der zuständigen Person angeben" promptTitle="Freigabe" prompt="Bitte Name der zuständigen Person angeben" sqref="B10:B12" xr:uid="{00000000-0002-0000-0100-000000000000}"/>
    <dataValidation type="date" allowBlank="1" showInputMessage="1" showErrorMessage="1" error="Veuillez saisir une date de saisie comprise entre le 01.01.2023 et le 31.12.2023 " promptTitle="Autorisation" prompt="Veuillez indiquer la date de l'autorisation par la personne responsable" sqref="D7" xr:uid="{00000000-0002-0000-0100-000002000000}">
      <formula1>44927</formula1>
      <formula2>45291</formula2>
    </dataValidation>
    <dataValidation showInputMessage="1" showErrorMessage="1" errorTitle="Freigabe" error="Bitte Kontaktangaben der zuständigen Person angeben" sqref="C10" xr:uid="{C9F5D779-AE31-4A5F-9728-58FA5234FA93}"/>
  </dataValidations>
  <hyperlinks>
    <hyperlink ref="C18:D18" location="'Überblick IAS Kennzahlen'!Print_Area" display="Überblick IAS-Kennzahlen" xr:uid="{00000000-0004-0000-0100-00000C000000}"/>
    <hyperlink ref="C19" location="'Ind AIS N°1'!Print_Area" display="Indicateur AIS N°1: «Primo-information»" xr:uid="{00000000-0004-0000-0100-00000D000000}"/>
    <hyperlink ref="C17" location="'Indicateurs PIC'!Print_Area" display="Indicateurs PIC" xr:uid="{00000000-0004-0000-0100-00000E000000}"/>
    <hyperlink ref="C18" location="'Sommaire Indicateurs AIS'!Print_Area" display="Sommaire Indicateurs AIS" xr:uid="{00000000-0004-0000-0100-00000F000000}"/>
    <hyperlink ref="C20" location="'Ind AIS N°2'!Print_Area" display="Indicateur AIS N°2: «Experience professionnelle» " xr:uid="{00000000-0004-0000-0100-000010000000}"/>
    <hyperlink ref="C21" location="'Ind AIS N°3'!Print_Area" display="Indicateur AIS N°3: «Formation»" xr:uid="{00000000-0004-0000-0100-000011000000}"/>
    <hyperlink ref="C22" location="'Ind AIS N°4'!Print_Area" display="Indicateur AIS N°4: «Alphabétisation»" xr:uid="{00000000-0004-0000-0100-000012000000}"/>
    <hyperlink ref="C23" location="'Ind AIS N°5'!Print_Area" display="Indicateur AIS N°5: «Potentiél»" xr:uid="{00000000-0004-0000-0100-000013000000}"/>
    <hyperlink ref="C24" location="'Ind AIS N°6'!Print_Area" display="Indicateur AIS N°6: «Dossiers ouverts»" xr:uid="{00000000-0004-0000-0100-000014000000}"/>
    <hyperlink ref="C25" location="'Ind AIS N°7'!Print_Area" display="Indicateur AIS N°7: «Encouragement de l'apprentissage de la langue chez les adultes»" xr:uid="{00000000-0004-0000-0100-000015000000}"/>
    <hyperlink ref="C26" location="'Ind AIS N°8'!Print_Area" display="Indicateur AIS N°8: «Niveau de langue chez les adultes»" xr:uid="{00000000-0004-0000-0100-000016000000}"/>
    <hyperlink ref="C27" location="'Ind AIS N°9'!Print_Area" display="Indicateur AIS N°9: «Encouragement de l'apprentissage de la langue chez les enfants d'âge préscolaire»" xr:uid="{00000000-0004-0000-0100-000017000000}"/>
    <hyperlink ref="C28" location="'Ind AIS N°11a'!Print_Area" display="Indicateur AIS N°11a: «Encouragement de l'aptitude à la formation» (16-25 ans)" xr:uid="{00000000-0004-0000-0100-000018000000}"/>
    <hyperlink ref="C29" location="'Ind AIS N°11b'!Print_Area" display="Indicateur AIS N°11b: «Encouragement de l'employabilité» (26-55 ans)" xr:uid="{00000000-0004-0000-0100-000019000000}"/>
    <hyperlink ref="C30" location="'Ind AIS N°14'!A1" display="Indicateur AIS N°14: «Vivre-ensemble»" xr:uid="{00000000-0004-0000-0100-00001A000000}"/>
  </hyperlinks>
  <pageMargins left="0.70866141732283472" right="0.70866141732283472" top="1.1811023622047245" bottom="0.78740157480314965" header="0.31496062992125984" footer="0.31496062992125984"/>
  <pageSetup paperSize="9" scale="63" orientation="portrait" horizontalDpi="90" verticalDpi="90" r:id="rId2"/>
  <headerFooter>
    <oddHeader>&amp;LKennzahlenraster KIP IAS&amp;R&amp;G</oddHeader>
    <oddFooter>&amp;L&amp;A&amp;R&amp;P</oddFooter>
  </headerFooter>
  <legacyDrawingHF r:id="rId3"/>
  <extLst>
    <ext xmlns:x14="http://schemas.microsoft.com/office/spreadsheetml/2009/9/main" uri="{CCE6A557-97BC-4b89-ADB6-D9C93CAAB3DF}">
      <x14:dataValidations xmlns:xm="http://schemas.microsoft.com/office/excel/2006/main" xWindow="391" yWindow="600" count="1">
        <x14:dataValidation type="list" allowBlank="1" xr:uid="{00000000-0002-0000-0100-000003000000}">
          <x14:formula1>
            <xm:f>Dropdownlisten!$A$3:$A$29</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theme="9" tint="0.39997558519241921"/>
    <pageSetUpPr fitToPage="1"/>
  </sheetPr>
  <dimension ref="B1:K12"/>
  <sheetViews>
    <sheetView showGridLines="0" zoomScale="75" zoomScaleNormal="75" workbookViewId="0">
      <selection activeCell="H8" sqref="H8"/>
    </sheetView>
  </sheetViews>
  <sheetFormatPr baseColWidth="10" defaultColWidth="11" defaultRowHeight="14" x14ac:dyDescent="0.3"/>
  <cols>
    <col min="1" max="1" width="2.08203125" style="194" customWidth="1"/>
    <col min="2" max="2" width="4.08203125" style="194" customWidth="1"/>
    <col min="3" max="5" width="15.58203125" style="194" customWidth="1"/>
    <col min="6" max="6" width="34.5" style="230" customWidth="1"/>
    <col min="7" max="7" width="79.58203125" style="194" customWidth="1"/>
    <col min="8" max="9" width="14.08203125" style="194" customWidth="1"/>
    <col min="10" max="10" width="32.58203125" style="194" customWidth="1"/>
    <col min="11" max="11" width="51.83203125" style="194" customWidth="1"/>
    <col min="12" max="12" width="2.08203125" style="194" customWidth="1"/>
    <col min="13" max="16384" width="11" style="194"/>
  </cols>
  <sheetData>
    <row r="1" spans="2:11" ht="28" x14ac:dyDescent="0.6">
      <c r="B1" s="381" t="s">
        <v>52</v>
      </c>
      <c r="C1" s="382"/>
      <c r="D1" s="382"/>
      <c r="E1" s="382"/>
      <c r="F1" s="383"/>
    </row>
    <row r="2" spans="2:11" ht="28.5" customHeight="1" x14ac:dyDescent="0.5">
      <c r="B2" s="377" t="s">
        <v>44</v>
      </c>
      <c r="C2" s="378"/>
      <c r="D2" s="378"/>
      <c r="E2" s="378"/>
      <c r="F2" s="255" t="str">
        <f>'Table des matières'!D4</f>
        <v>CH</v>
      </c>
    </row>
    <row r="3" spans="2:11" ht="28.5" customHeight="1" thickBot="1" x14ac:dyDescent="0.35">
      <c r="B3" s="379" t="s">
        <v>65</v>
      </c>
      <c r="C3" s="380"/>
      <c r="D3" s="380"/>
      <c r="E3" s="380"/>
      <c r="F3" s="256"/>
      <c r="G3" s="195"/>
    </row>
    <row r="4" spans="2:11" ht="14.15" customHeight="1" x14ac:dyDescent="0.3">
      <c r="B4" s="196"/>
      <c r="C4" s="196"/>
      <c r="D4" s="196"/>
      <c r="E4" s="197"/>
    </row>
    <row r="5" spans="2:11" ht="14.15" customHeight="1" thickBot="1" x14ac:dyDescent="0.35">
      <c r="B5" s="386"/>
      <c r="C5" s="387"/>
      <c r="D5" s="387"/>
      <c r="E5" s="387"/>
    </row>
    <row r="6" spans="2:11" ht="50.15" customHeight="1" thickBot="1" x14ac:dyDescent="0.35">
      <c r="B6" s="257" t="s">
        <v>66</v>
      </c>
      <c r="C6" s="388" t="s">
        <v>67</v>
      </c>
      <c r="D6" s="389"/>
      <c r="E6" s="390"/>
      <c r="F6" s="198" t="s">
        <v>68</v>
      </c>
      <c r="G6" s="198" t="s">
        <v>69</v>
      </c>
      <c r="H6" s="198" t="s">
        <v>70</v>
      </c>
      <c r="I6" s="329" t="s">
        <v>217</v>
      </c>
      <c r="J6" s="391" t="s">
        <v>71</v>
      </c>
      <c r="K6" s="390"/>
    </row>
    <row r="7" spans="2:11" s="199" customFormat="1" ht="16.5" customHeight="1" thickBot="1" x14ac:dyDescent="0.35">
      <c r="B7" s="376"/>
      <c r="C7" s="376"/>
      <c r="D7" s="376"/>
      <c r="E7" s="376"/>
      <c r="F7" s="376"/>
      <c r="G7" s="376"/>
      <c r="H7" s="376"/>
      <c r="I7" s="376"/>
      <c r="J7" s="376"/>
      <c r="K7" s="376"/>
    </row>
    <row r="8" spans="2:11" ht="128.25" customHeight="1" x14ac:dyDescent="0.3">
      <c r="B8" s="258">
        <v>1</v>
      </c>
      <c r="C8" s="394" t="s">
        <v>72</v>
      </c>
      <c r="D8" s="395"/>
      <c r="E8" s="395"/>
      <c r="F8" s="333" t="s">
        <v>184</v>
      </c>
      <c r="G8" s="334" t="s">
        <v>243</v>
      </c>
      <c r="H8" s="305"/>
      <c r="I8" s="308" t="s">
        <v>35</v>
      </c>
      <c r="J8" s="400"/>
      <c r="K8" s="401"/>
    </row>
    <row r="9" spans="2:11" ht="100.5" customHeight="1" x14ac:dyDescent="0.3">
      <c r="B9" s="259">
        <v>2</v>
      </c>
      <c r="C9" s="396" t="s">
        <v>218</v>
      </c>
      <c r="D9" s="397"/>
      <c r="E9" s="397"/>
      <c r="F9" s="335" t="s">
        <v>185</v>
      </c>
      <c r="G9" s="336" t="s">
        <v>187</v>
      </c>
      <c r="H9" s="306"/>
      <c r="I9" s="92" t="s">
        <v>35</v>
      </c>
      <c r="J9" s="384"/>
      <c r="K9" s="385"/>
    </row>
    <row r="10" spans="2:11" ht="101.25" customHeight="1" x14ac:dyDescent="0.3">
      <c r="B10" s="259">
        <v>3</v>
      </c>
      <c r="C10" s="396" t="s">
        <v>219</v>
      </c>
      <c r="D10" s="397"/>
      <c r="E10" s="397"/>
      <c r="F10" s="335" t="s">
        <v>186</v>
      </c>
      <c r="G10" s="336" t="s">
        <v>188</v>
      </c>
      <c r="H10" s="306"/>
      <c r="I10" s="92" t="s">
        <v>35</v>
      </c>
      <c r="J10" s="384"/>
      <c r="K10" s="385"/>
    </row>
    <row r="11" spans="2:11" ht="126" customHeight="1" x14ac:dyDescent="0.3">
      <c r="B11" s="259">
        <v>4</v>
      </c>
      <c r="C11" s="396" t="s">
        <v>220</v>
      </c>
      <c r="D11" s="397"/>
      <c r="E11" s="397"/>
      <c r="F11" s="335" t="s">
        <v>221</v>
      </c>
      <c r="G11" s="337" t="s">
        <v>222</v>
      </c>
      <c r="H11" s="306"/>
      <c r="I11" s="92" t="s">
        <v>35</v>
      </c>
      <c r="J11" s="384"/>
      <c r="K11" s="385"/>
    </row>
    <row r="12" spans="2:11" ht="187.5" customHeight="1" thickBot="1" x14ac:dyDescent="0.35">
      <c r="B12" s="260">
        <v>5</v>
      </c>
      <c r="C12" s="398" t="s">
        <v>223</v>
      </c>
      <c r="D12" s="399"/>
      <c r="E12" s="399"/>
      <c r="F12" s="338" t="s">
        <v>224</v>
      </c>
      <c r="G12" s="339" t="s">
        <v>225</v>
      </c>
      <c r="H12" s="307"/>
      <c r="I12" s="261" t="s">
        <v>35</v>
      </c>
      <c r="J12" s="392"/>
      <c r="K12" s="393"/>
    </row>
  </sheetData>
  <sheetProtection algorithmName="SHA-512" hashValue="pGYs8SobocSWDAbAgwtkBC6YCUtWPKIJwGEYtlZn7E01HsTQRrtlnRcH7taOP+sUId47ZmLRyE7+PgRGYvQMwA==" saltValue="x04++UPIZVanxK3NgrnpLQ==" spinCount="100000" sheet="1" selectLockedCells="1"/>
  <customSheetViews>
    <customSheetView guid="{168849A9-FED9-4458-942F-290616B3A25C}" scale="85" showPageBreaks="1" showGridLines="0" fitToPage="1" printArea="1">
      <selection activeCell="F2" sqref="F2"/>
      <pageMargins left="0.70866141732283472" right="0.70866141732283472" top="0.78740157480314965" bottom="0.78740157480314965" header="0.31496062992125984" footer="0.31496062992125984"/>
      <pageSetup paperSize="9" scale="48" fitToHeight="0" orientation="landscape" r:id="rId1"/>
      <headerFooter>
        <oddHeader>&amp;LKennzahlenraster KIP / IAS&amp;R&amp;G</oddHeader>
        <oddFooter>&amp;L&amp;A&amp;R&amp;P</oddFooter>
      </headerFooter>
    </customSheetView>
  </customSheetViews>
  <mergeCells count="17">
    <mergeCell ref="J12:K12"/>
    <mergeCell ref="J10:K10"/>
    <mergeCell ref="C8:E8"/>
    <mergeCell ref="C9:E9"/>
    <mergeCell ref="C11:E11"/>
    <mergeCell ref="C12:E12"/>
    <mergeCell ref="C10:E10"/>
    <mergeCell ref="J8:K8"/>
    <mergeCell ref="J9:K9"/>
    <mergeCell ref="B7:K7"/>
    <mergeCell ref="B2:E2"/>
    <mergeCell ref="B3:E3"/>
    <mergeCell ref="B1:F1"/>
    <mergeCell ref="J11:K11"/>
    <mergeCell ref="B5:E5"/>
    <mergeCell ref="C6:E6"/>
    <mergeCell ref="J6:K6"/>
  </mergeCells>
  <dataValidations count="2">
    <dataValidation type="whole" operator="greaterThanOrEqual" allowBlank="1" showInputMessage="1" showErrorMessage="1" errorTitle="Fehler" error="Gültig sind nur positive, ganze Zahlen (0, 200, etc.). Kein Text" sqref="H8:H12" xr:uid="{00000000-0002-0000-0200-000000000000}">
      <formula1>0</formula1>
    </dataValidation>
    <dataValidation type="date" allowBlank="1" showInputMessage="1" showErrorMessage="1" error="Veuillez saisir une date de saisie comprise entre le 01.01.2023 et le 31.12.2023 " promptTitle="Date de la saisie" prompt="Veuillez saisir la date de la saisie des données" sqref="F3" xr:uid="{00000000-0002-0000-0200-000001000000}">
      <formula1>44927</formula1>
      <formula2>45291</formula2>
    </dataValidation>
  </dataValidations>
  <pageMargins left="0.70866141732283472" right="0.70866141732283472" top="0.78740157480314965" bottom="0.78740157480314965" header="0.31496062992125984" footer="0.31496062992125984"/>
  <pageSetup paperSize="9" scale="48" fitToHeight="0" orientation="landscape" r:id="rId2"/>
  <headerFooter>
    <oddFooter>&amp;L&amp;A&amp;R&amp;P</oddFooter>
  </headerFooter>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errorTitle="Fehler" error="Gültig sind nur positive, ganze Zahlen (0, 200, etc.). Kein Text" xr:uid="{C74E1855-B29E-485C-9AF3-0FCDA97ED7BE}">
          <x14:formula1>
            <xm:f>Dropdownlisten!$C$9:$C$12</xm:f>
          </x14:formula1>
          <xm:sqref>I8:I12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theme="3" tint="0.39997558519241921"/>
    <pageSetUpPr fitToPage="1"/>
  </sheetPr>
  <dimension ref="A1:V34"/>
  <sheetViews>
    <sheetView showGridLines="0" zoomScale="65" zoomScaleNormal="60" zoomScalePageLayoutView="90" workbookViewId="0">
      <selection activeCell="G2" sqref="G2"/>
    </sheetView>
  </sheetViews>
  <sheetFormatPr baseColWidth="10" defaultColWidth="11" defaultRowHeight="14" x14ac:dyDescent="0.3"/>
  <cols>
    <col min="1" max="1" width="2.08203125" style="1" customWidth="1"/>
    <col min="2" max="2" width="3.08203125" style="1" customWidth="1"/>
    <col min="3" max="3" width="4.08203125" style="1" customWidth="1"/>
    <col min="4" max="4" width="32.08203125" style="1" customWidth="1"/>
    <col min="5" max="5" width="41.58203125" style="1" customWidth="1"/>
    <col min="6" max="6" width="20.08203125" style="1" customWidth="1"/>
    <col min="7" max="15" width="15.83203125" style="1" customWidth="1"/>
    <col min="16" max="16" width="2.08203125" style="1" customWidth="1"/>
    <col min="17" max="16384" width="11" style="1"/>
  </cols>
  <sheetData>
    <row r="1" spans="2:22" ht="28" x14ac:dyDescent="0.3">
      <c r="B1" s="402" t="s">
        <v>53</v>
      </c>
      <c r="C1" s="403"/>
      <c r="D1" s="403"/>
      <c r="E1" s="404"/>
    </row>
    <row r="2" spans="2:22" ht="28.5" customHeight="1" x14ac:dyDescent="0.5">
      <c r="B2" s="441" t="s">
        <v>44</v>
      </c>
      <c r="C2" s="441"/>
      <c r="D2" s="441"/>
      <c r="E2" s="95" t="str">
        <f>'Indicateurs PIC'!F2</f>
        <v>CH</v>
      </c>
    </row>
    <row r="3" spans="2:22" ht="14.15" customHeight="1" x14ac:dyDescent="0.3">
      <c r="B3" s="7"/>
      <c r="C3" s="7"/>
      <c r="D3" s="7"/>
      <c r="E3" s="91"/>
      <c r="F3" s="91"/>
    </row>
    <row r="4" spans="2:22" ht="14.15" customHeight="1" thickBot="1" x14ac:dyDescent="0.35"/>
    <row r="5" spans="2:22" s="3" customFormat="1" ht="62.5" customHeight="1" thickBot="1" x14ac:dyDescent="0.35">
      <c r="B5" s="8" t="s">
        <v>73</v>
      </c>
      <c r="C5" s="9" t="s">
        <v>74</v>
      </c>
      <c r="D5" s="25" t="s">
        <v>75</v>
      </c>
      <c r="E5" s="420" t="s">
        <v>68</v>
      </c>
      <c r="F5" s="421"/>
      <c r="G5" s="67" t="s">
        <v>4</v>
      </c>
      <c r="H5" s="68" t="s">
        <v>76</v>
      </c>
      <c r="I5" s="69" t="s">
        <v>77</v>
      </c>
      <c r="J5" s="74" t="s">
        <v>161</v>
      </c>
      <c r="K5" s="74" t="s">
        <v>78</v>
      </c>
      <c r="L5" s="75" t="s">
        <v>79</v>
      </c>
      <c r="M5" s="70" t="s">
        <v>80</v>
      </c>
      <c r="N5" s="431" t="s">
        <v>81</v>
      </c>
      <c r="O5" s="432"/>
      <c r="P5" s="2"/>
      <c r="Q5" s="2"/>
      <c r="R5" s="2"/>
      <c r="S5" s="2"/>
      <c r="T5" s="2"/>
      <c r="U5" s="2"/>
      <c r="V5" s="2"/>
    </row>
    <row r="6" spans="2:22" s="4" customFormat="1" ht="14.15" customHeight="1" thickBot="1" x14ac:dyDescent="0.35">
      <c r="B6" s="224"/>
      <c r="C6" s="419"/>
      <c r="D6" s="419"/>
      <c r="E6" s="419"/>
      <c r="F6" s="419"/>
      <c r="G6" s="419"/>
      <c r="H6" s="419"/>
      <c r="I6" s="419"/>
      <c r="J6" s="419"/>
      <c r="K6" s="419"/>
      <c r="L6" s="419"/>
      <c r="M6" s="419"/>
      <c r="P6" s="5"/>
      <c r="Q6" s="5"/>
      <c r="R6" s="5"/>
      <c r="S6" s="5"/>
      <c r="T6" s="5"/>
      <c r="U6" s="5"/>
      <c r="V6" s="5"/>
    </row>
    <row r="7" spans="2:22" s="209" customFormat="1" ht="45" customHeight="1" thickBot="1" x14ac:dyDescent="0.35">
      <c r="B7" s="200"/>
      <c r="C7" s="201"/>
      <c r="D7" s="202" t="s">
        <v>82</v>
      </c>
      <c r="E7" s="203"/>
      <c r="F7" s="204"/>
      <c r="G7" s="294"/>
      <c r="H7" s="295"/>
      <c r="I7" s="205"/>
      <c r="J7" s="206"/>
      <c r="K7" s="206"/>
      <c r="L7" s="207"/>
      <c r="M7" s="208"/>
      <c r="N7" s="210" t="s">
        <v>83</v>
      </c>
      <c r="O7" s="211" t="s">
        <v>84</v>
      </c>
    </row>
    <row r="8" spans="2:22" s="6" customFormat="1" ht="80.150000000000006" customHeight="1" thickBot="1" x14ac:dyDescent="0.35">
      <c r="B8" s="32" t="s">
        <v>85</v>
      </c>
      <c r="C8" s="33">
        <v>1</v>
      </c>
      <c r="D8" s="34" t="s">
        <v>86</v>
      </c>
      <c r="E8" s="35" t="s">
        <v>87</v>
      </c>
      <c r="F8" s="151"/>
      <c r="G8" s="62">
        <f>SUM(H8:I8,K8)</f>
        <v>0</v>
      </c>
      <c r="H8" s="36">
        <f>'Ind AIS N°1'!D8</f>
        <v>0</v>
      </c>
      <c r="I8" s="36">
        <f>'Ind AIS N°1'!E8</f>
        <v>0</v>
      </c>
      <c r="J8" s="76">
        <f>'Ind AIS N°1'!F8</f>
        <v>0</v>
      </c>
      <c r="K8" s="37">
        <f>'Ind AIS N°1'!G8</f>
        <v>0</v>
      </c>
      <c r="L8" s="36">
        <f>'Ind AIS N°1'!H8</f>
        <v>0</v>
      </c>
      <c r="M8" s="37">
        <f>'Ind AIS N°1'!I8</f>
        <v>0</v>
      </c>
      <c r="N8" s="433"/>
      <c r="O8" s="434"/>
    </row>
    <row r="9" spans="2:22" s="6" customFormat="1" ht="45" customHeight="1" x14ac:dyDescent="0.3">
      <c r="B9" s="405" t="s">
        <v>88</v>
      </c>
      <c r="C9" s="422">
        <v>2</v>
      </c>
      <c r="D9" s="427" t="s">
        <v>89</v>
      </c>
      <c r="E9" s="416" t="s">
        <v>90</v>
      </c>
      <c r="F9" s="212" t="s">
        <v>91</v>
      </c>
      <c r="G9" s="64">
        <f t="shared" ref="G9:G15" si="0">SUM(H9:I9,K9)</f>
        <v>0</v>
      </c>
      <c r="H9" s="39">
        <f>'Ind AIS N°2'!E8</f>
        <v>0</v>
      </c>
      <c r="I9" s="40">
        <f>'Ind AIS N°2'!G8</f>
        <v>0</v>
      </c>
      <c r="J9" s="77">
        <f>'Ind AIS N°2'!H8</f>
        <v>0</v>
      </c>
      <c r="K9" s="77">
        <f>'Ind AIS N°2'!H8</f>
        <v>0</v>
      </c>
      <c r="L9" s="83">
        <f>'Ind AIS N°2'!I8</f>
        <v>0</v>
      </c>
      <c r="M9" s="41">
        <f>'Ind AIS N°2'!J8</f>
        <v>0</v>
      </c>
      <c r="N9" s="435"/>
      <c r="O9" s="436"/>
    </row>
    <row r="10" spans="2:22" s="6" customFormat="1" ht="45" customHeight="1" x14ac:dyDescent="0.3">
      <c r="B10" s="442"/>
      <c r="C10" s="423"/>
      <c r="D10" s="443"/>
      <c r="E10" s="417"/>
      <c r="F10" s="213" t="s">
        <v>92</v>
      </c>
      <c r="G10" s="65">
        <f t="shared" si="0"/>
        <v>0</v>
      </c>
      <c r="H10" s="26">
        <f>'Ind AIS N°2'!E9</f>
        <v>0</v>
      </c>
      <c r="I10" s="28">
        <f>'Ind AIS N°2'!G9</f>
        <v>0</v>
      </c>
      <c r="J10" s="78">
        <f>'Ind AIS N°2'!H9</f>
        <v>0</v>
      </c>
      <c r="K10" s="78">
        <f>'Ind AIS N°2'!H9</f>
        <v>0</v>
      </c>
      <c r="L10" s="84">
        <f>'Ind AIS N°2'!I9</f>
        <v>0</v>
      </c>
      <c r="M10" s="27">
        <f>'Ind AIS N°2'!J9</f>
        <v>0</v>
      </c>
      <c r="N10" s="435"/>
      <c r="O10" s="436"/>
    </row>
    <row r="11" spans="2:22" s="6" customFormat="1" ht="45" customHeight="1" x14ac:dyDescent="0.3">
      <c r="B11" s="442"/>
      <c r="C11" s="423"/>
      <c r="D11" s="443"/>
      <c r="E11" s="417"/>
      <c r="F11" s="213" t="s">
        <v>93</v>
      </c>
      <c r="G11" s="65">
        <f t="shared" si="0"/>
        <v>0</v>
      </c>
      <c r="H11" s="26">
        <f>'Ind AIS N°2'!E10</f>
        <v>0</v>
      </c>
      <c r="I11" s="28">
        <f>'Ind AIS N°2'!G10</f>
        <v>0</v>
      </c>
      <c r="J11" s="78">
        <f>'Ind AIS N°2'!H10</f>
        <v>0</v>
      </c>
      <c r="K11" s="78">
        <f>'Ind AIS N°2'!H10</f>
        <v>0</v>
      </c>
      <c r="L11" s="84">
        <f>'Ind AIS N°2'!I10</f>
        <v>0</v>
      </c>
      <c r="M11" s="27">
        <f>'Ind AIS N°2'!J10</f>
        <v>0</v>
      </c>
      <c r="N11" s="435"/>
      <c r="O11" s="436"/>
    </row>
    <row r="12" spans="2:22" s="6" customFormat="1" ht="45" customHeight="1" thickBot="1" x14ac:dyDescent="0.35">
      <c r="B12" s="406"/>
      <c r="C12" s="424"/>
      <c r="D12" s="428"/>
      <c r="E12" s="418"/>
      <c r="F12" s="214" t="s">
        <v>94</v>
      </c>
      <c r="G12" s="66">
        <f t="shared" si="0"/>
        <v>0</v>
      </c>
      <c r="H12" s="29">
        <f>'Ind AIS N°2'!E11</f>
        <v>0</v>
      </c>
      <c r="I12" s="30">
        <f>'Ind AIS N°2'!G11</f>
        <v>0</v>
      </c>
      <c r="J12" s="79">
        <f>'Ind AIS N°2'!H11</f>
        <v>0</v>
      </c>
      <c r="K12" s="79">
        <f>'Ind AIS N°2'!H11</f>
        <v>0</v>
      </c>
      <c r="L12" s="85">
        <f>'Ind AIS N°2'!I11</f>
        <v>0</v>
      </c>
      <c r="M12" s="31">
        <f>'Ind AIS N°2'!J11</f>
        <v>0</v>
      </c>
      <c r="N12" s="435"/>
      <c r="O12" s="436"/>
    </row>
    <row r="13" spans="2:22" s="6" customFormat="1" ht="45" customHeight="1" x14ac:dyDescent="0.3">
      <c r="B13" s="405" t="s">
        <v>88</v>
      </c>
      <c r="C13" s="425">
        <v>3</v>
      </c>
      <c r="D13" s="427" t="s">
        <v>95</v>
      </c>
      <c r="E13" s="439" t="s">
        <v>96</v>
      </c>
      <c r="F13" s="38" t="s">
        <v>97</v>
      </c>
      <c r="G13" s="64">
        <f t="shared" si="0"/>
        <v>0</v>
      </c>
      <c r="H13" s="39">
        <f>'Ind AIS N°3'!E8</f>
        <v>0</v>
      </c>
      <c r="I13" s="40">
        <f>'Ind AIS N°3'!G8</f>
        <v>0</v>
      </c>
      <c r="J13" s="77">
        <f>'Ind AIS N°3'!H8</f>
        <v>0</v>
      </c>
      <c r="K13" s="77">
        <f>'Ind AIS N°3'!H8</f>
        <v>0</v>
      </c>
      <c r="L13" s="83">
        <f>'Ind AIS N°3'!I8</f>
        <v>0</v>
      </c>
      <c r="M13" s="41">
        <f>'Ind AIS N°3'!J8</f>
        <v>0</v>
      </c>
      <c r="N13" s="435"/>
      <c r="O13" s="436"/>
    </row>
    <row r="14" spans="2:22" s="6" customFormat="1" ht="45" customHeight="1" thickBot="1" x14ac:dyDescent="0.35">
      <c r="B14" s="406"/>
      <c r="C14" s="426"/>
      <c r="D14" s="428"/>
      <c r="E14" s="440"/>
      <c r="F14" s="10" t="s">
        <v>98</v>
      </c>
      <c r="G14" s="66">
        <f>SUM(H14:I14,K14)</f>
        <v>0</v>
      </c>
      <c r="H14" s="29">
        <f>'Ind AIS N°3'!E9</f>
        <v>0</v>
      </c>
      <c r="I14" s="30">
        <f>'Ind AIS N°3'!G9</f>
        <v>0</v>
      </c>
      <c r="J14" s="79">
        <f>'Ind AIS N°3'!H9</f>
        <v>0</v>
      </c>
      <c r="K14" s="79">
        <f>'Ind AIS N°3'!H9</f>
        <v>0</v>
      </c>
      <c r="L14" s="85">
        <f>'Ind AIS N°3'!I9</f>
        <v>0</v>
      </c>
      <c r="M14" s="31">
        <f>'Ind AIS N°3'!J9</f>
        <v>0</v>
      </c>
      <c r="N14" s="435"/>
      <c r="O14" s="436"/>
    </row>
    <row r="15" spans="2:22" s="6" customFormat="1" ht="80.150000000000006" customHeight="1" thickBot="1" x14ac:dyDescent="0.35">
      <c r="B15" s="32" t="s">
        <v>88</v>
      </c>
      <c r="C15" s="42">
        <v>4</v>
      </c>
      <c r="D15" s="34" t="s">
        <v>99</v>
      </c>
      <c r="E15" s="35" t="s">
        <v>100</v>
      </c>
      <c r="F15" s="151"/>
      <c r="G15" s="62">
        <f t="shared" si="0"/>
        <v>0</v>
      </c>
      <c r="H15" s="36">
        <f>'Ind AIS N°4'!D8</f>
        <v>0</v>
      </c>
      <c r="I15" s="43">
        <f>'Ind AIS N°4'!E8</f>
        <v>0</v>
      </c>
      <c r="J15" s="80">
        <f>'Ind AIS N°4'!F8</f>
        <v>0</v>
      </c>
      <c r="K15" s="80">
        <f>'Ind AIS N°4'!G8</f>
        <v>0</v>
      </c>
      <c r="L15" s="82">
        <f>'Ind AIS N°4'!H8</f>
        <v>0</v>
      </c>
      <c r="M15" s="37">
        <f>'Ind AIS N°4'!I8</f>
        <v>0</v>
      </c>
      <c r="N15" s="435"/>
      <c r="O15" s="436"/>
    </row>
    <row r="16" spans="2:22" s="6" customFormat="1" ht="55" customHeight="1" x14ac:dyDescent="0.3">
      <c r="B16" s="405" t="s">
        <v>88</v>
      </c>
      <c r="C16" s="414">
        <v>5</v>
      </c>
      <c r="D16" s="412" t="s">
        <v>101</v>
      </c>
      <c r="E16" s="410" t="s">
        <v>102</v>
      </c>
      <c r="F16" s="44" t="s">
        <v>103</v>
      </c>
      <c r="G16" s="64">
        <f>SUM(H16:I16,K16)</f>
        <v>0</v>
      </c>
      <c r="H16" s="48">
        <f>'Ind AIS N°5'!E8</f>
        <v>0</v>
      </c>
      <c r="I16" s="45">
        <f>'Ind AIS N°5'!G8</f>
        <v>0</v>
      </c>
      <c r="J16" s="81">
        <f>'Ind AIS N°5'!H8</f>
        <v>0</v>
      </c>
      <c r="K16" s="81">
        <f>'Ind AIS N°5'!H8</f>
        <v>0</v>
      </c>
      <c r="L16" s="86">
        <f>'Ind AIS N°5'!I8</f>
        <v>0</v>
      </c>
      <c r="M16" s="46">
        <f>'Ind AIS N°5'!J8</f>
        <v>0</v>
      </c>
      <c r="N16" s="435"/>
      <c r="O16" s="436"/>
    </row>
    <row r="17" spans="1:16" s="6" customFormat="1" ht="55" customHeight="1" thickBot="1" x14ac:dyDescent="0.35">
      <c r="B17" s="406"/>
      <c r="C17" s="415"/>
      <c r="D17" s="413"/>
      <c r="E17" s="411"/>
      <c r="F17" s="10" t="s">
        <v>104</v>
      </c>
      <c r="G17" s="66">
        <f>SUM(H17:I17,K17)</f>
        <v>0</v>
      </c>
      <c r="H17" s="29">
        <f>'Ind AIS N°5'!E9</f>
        <v>0</v>
      </c>
      <c r="I17" s="30">
        <f>'Ind AIS N°5'!G9</f>
        <v>0</v>
      </c>
      <c r="J17" s="79">
        <f>'Ind AIS N°5'!H9</f>
        <v>0</v>
      </c>
      <c r="K17" s="79">
        <f>'Ind AIS N°5'!H9</f>
        <v>0</v>
      </c>
      <c r="L17" s="85">
        <f>'Ind AIS N°5'!I9</f>
        <v>0</v>
      </c>
      <c r="M17" s="31">
        <f>'Ind AIS N°5'!J9</f>
        <v>0</v>
      </c>
      <c r="N17" s="437"/>
      <c r="O17" s="438"/>
    </row>
    <row r="18" spans="1:16" ht="14.5" thickBot="1" x14ac:dyDescent="0.35">
      <c r="B18" s="408"/>
      <c r="C18" s="408"/>
      <c r="D18" s="408"/>
      <c r="E18" s="11"/>
      <c r="F18" s="11"/>
      <c r="G18" s="11"/>
      <c r="H18" s="11"/>
      <c r="I18" s="11"/>
      <c r="J18" s="11"/>
      <c r="K18" s="11"/>
      <c r="L18" s="11"/>
      <c r="M18" s="11"/>
    </row>
    <row r="19" spans="1:16" ht="45" customHeight="1" thickBot="1" x14ac:dyDescent="0.35">
      <c r="B19" s="51"/>
      <c r="C19" s="288"/>
      <c r="D19" s="57" t="s">
        <v>105</v>
      </c>
      <c r="E19" s="58"/>
      <c r="F19" s="59"/>
      <c r="G19" s="63"/>
      <c r="H19" s="60"/>
      <c r="I19" s="55"/>
      <c r="J19" s="87"/>
      <c r="K19" s="87"/>
      <c r="L19" s="88"/>
      <c r="M19" s="56"/>
      <c r="N19" s="210" t="s">
        <v>83</v>
      </c>
      <c r="O19" s="211" t="s">
        <v>84</v>
      </c>
    </row>
    <row r="20" spans="1:16" s="6" customFormat="1" ht="80.150000000000006" customHeight="1" thickBot="1" x14ac:dyDescent="0.35">
      <c r="B20" s="32" t="s">
        <v>85</v>
      </c>
      <c r="C20" s="33">
        <v>6</v>
      </c>
      <c r="D20" s="34" t="s">
        <v>106</v>
      </c>
      <c r="E20" s="35" t="s">
        <v>107</v>
      </c>
      <c r="F20" s="151"/>
      <c r="G20" s="62">
        <f>SUM(H20:I20,K20)</f>
        <v>0</v>
      </c>
      <c r="H20" s="36">
        <f>'Ind AIS N°6'!D8</f>
        <v>0</v>
      </c>
      <c r="I20" s="36">
        <f>'Ind AIS N°6'!E8</f>
        <v>0</v>
      </c>
      <c r="J20" s="43">
        <f>'Ind AIS N°6'!F8</f>
        <v>0</v>
      </c>
      <c r="K20" s="76">
        <f>'Ind AIS N°6'!G8</f>
        <v>0</v>
      </c>
      <c r="L20" s="82">
        <f>'Ind AIS N°6'!H8</f>
        <v>0</v>
      </c>
      <c r="M20" s="47">
        <f>'Ind AIS N°6'!I8</f>
        <v>0</v>
      </c>
      <c r="N20" s="429"/>
      <c r="O20" s="430"/>
    </row>
    <row r="21" spans="1:16" ht="14.5" thickBot="1" x14ac:dyDescent="0.35">
      <c r="A21" s="225"/>
      <c r="B21" s="409"/>
      <c r="C21" s="409"/>
      <c r="D21" s="409"/>
      <c r="E21" s="409"/>
      <c r="F21" s="409"/>
      <c r="G21" s="409"/>
      <c r="H21" s="409"/>
      <c r="I21" s="409"/>
      <c r="J21" s="409"/>
      <c r="K21" s="409"/>
      <c r="L21" s="409"/>
      <c r="M21" s="409"/>
      <c r="N21" s="225"/>
      <c r="O21" s="225"/>
      <c r="P21" s="225"/>
    </row>
    <row r="22" spans="1:16" ht="45" customHeight="1" thickBot="1" x14ac:dyDescent="0.35">
      <c r="B22" s="51"/>
      <c r="C22" s="288"/>
      <c r="D22" s="57" t="s">
        <v>108</v>
      </c>
      <c r="E22" s="58"/>
      <c r="F22" s="59"/>
      <c r="G22" s="63"/>
      <c r="H22" s="60"/>
      <c r="I22" s="55"/>
      <c r="J22" s="87"/>
      <c r="K22" s="87"/>
      <c r="L22" s="88"/>
      <c r="M22" s="56"/>
      <c r="N22" s="210" t="s">
        <v>83</v>
      </c>
      <c r="O22" s="211" t="s">
        <v>84</v>
      </c>
    </row>
    <row r="23" spans="1:16" s="6" customFormat="1" ht="80.150000000000006" customHeight="1" thickBot="1" x14ac:dyDescent="0.35">
      <c r="B23" s="32" t="s">
        <v>85</v>
      </c>
      <c r="C23" s="42">
        <v>7</v>
      </c>
      <c r="D23" s="34" t="s">
        <v>109</v>
      </c>
      <c r="E23" s="35" t="s">
        <v>110</v>
      </c>
      <c r="F23" s="151"/>
      <c r="G23" s="62">
        <f>SUM(H23:I23,K23)</f>
        <v>0</v>
      </c>
      <c r="H23" s="36">
        <f>'Ind AIS N°7'!D8</f>
        <v>0</v>
      </c>
      <c r="I23" s="36">
        <f>'Ind AIS N°7'!E8</f>
        <v>0</v>
      </c>
      <c r="J23" s="43">
        <f>'Ind AIS N°7'!F8</f>
        <v>0</v>
      </c>
      <c r="K23" s="76">
        <f>'Ind AIS N°7'!G8</f>
        <v>0</v>
      </c>
      <c r="L23" s="82">
        <f>'Ind AIS N°7'!H8</f>
        <v>0</v>
      </c>
      <c r="M23" s="47">
        <f>'Ind AIS N°7'!I8</f>
        <v>0</v>
      </c>
      <c r="N23" s="82" t="str">
        <f>'Ind AIS N°7'!J8</f>
        <v>…..</v>
      </c>
      <c r="O23" s="47" t="str">
        <f>'Ind AIS N°7'!K8</f>
        <v>…..</v>
      </c>
    </row>
    <row r="24" spans="1:16" s="6" customFormat="1" ht="95.15" customHeight="1" thickBot="1" x14ac:dyDescent="0.35">
      <c r="B24" s="32" t="s">
        <v>111</v>
      </c>
      <c r="C24" s="33">
        <v>8</v>
      </c>
      <c r="D24" s="34" t="s">
        <v>112</v>
      </c>
      <c r="E24" s="35" t="s">
        <v>113</v>
      </c>
      <c r="F24" s="151"/>
      <c r="G24" s="62">
        <f>SUM(H24:I24,K24)</f>
        <v>0</v>
      </c>
      <c r="H24" s="36">
        <f>'Ind AIS N°8'!D8</f>
        <v>0</v>
      </c>
      <c r="I24" s="36">
        <f>'Ind AIS N°8'!E8</f>
        <v>0</v>
      </c>
      <c r="J24" s="341"/>
      <c r="K24" s="76">
        <f>'Ind AIS N°8'!F8</f>
        <v>0</v>
      </c>
      <c r="L24" s="82">
        <f>'Ind AIS N°8'!G8</f>
        <v>0</v>
      </c>
      <c r="M24" s="47">
        <f>'Ind AIS N°8'!H8</f>
        <v>0</v>
      </c>
      <c r="N24" s="82" t="str">
        <f>'Ind AIS N°8'!I8</f>
        <v>…..</v>
      </c>
      <c r="O24" s="47" t="str">
        <f>'Ind AIS N°8'!J8</f>
        <v>…..</v>
      </c>
    </row>
    <row r="25" spans="1:16" ht="14.5" thickBot="1" x14ac:dyDescent="0.35">
      <c r="B25" s="408"/>
      <c r="C25" s="408"/>
      <c r="D25" s="408"/>
      <c r="E25" s="408"/>
      <c r="F25" s="408"/>
      <c r="G25" s="408"/>
      <c r="H25" s="408"/>
      <c r="I25" s="408"/>
      <c r="J25" s="408"/>
      <c r="K25" s="408"/>
      <c r="L25" s="408"/>
      <c r="M25" s="408"/>
    </row>
    <row r="26" spans="1:16" ht="45" customHeight="1" thickBot="1" x14ac:dyDescent="0.35">
      <c r="B26" s="51"/>
      <c r="C26" s="288"/>
      <c r="D26" s="57" t="s">
        <v>114</v>
      </c>
      <c r="E26" s="58"/>
      <c r="F26" s="59"/>
      <c r="G26" s="63"/>
      <c r="H26" s="60"/>
      <c r="I26" s="55"/>
      <c r="J26" s="87"/>
      <c r="K26" s="87"/>
      <c r="L26" s="88"/>
      <c r="M26" s="56"/>
      <c r="N26" s="210" t="s">
        <v>83</v>
      </c>
      <c r="O26" s="211" t="s">
        <v>84</v>
      </c>
    </row>
    <row r="27" spans="1:16" s="6" customFormat="1" ht="80.150000000000006" customHeight="1" thickBot="1" x14ac:dyDescent="0.35">
      <c r="B27" s="73" t="s">
        <v>85</v>
      </c>
      <c r="C27" s="288">
        <v>9</v>
      </c>
      <c r="D27" s="289" t="s">
        <v>115</v>
      </c>
      <c r="E27" s="24" t="s">
        <v>116</v>
      </c>
      <c r="F27" s="152"/>
      <c r="G27" s="71">
        <f>SUM(H27:I27,K27)</f>
        <v>0</v>
      </c>
      <c r="H27" s="72">
        <f>'Ind AIS N°9'!D8</f>
        <v>0</v>
      </c>
      <c r="I27" s="72">
        <f>'Ind AIS N°9'!E8</f>
        <v>0</v>
      </c>
      <c r="J27" s="43">
        <f>'Ind AIS N°9'!F8</f>
        <v>0</v>
      </c>
      <c r="K27" s="89">
        <f>'Ind AIS N°9'!G8</f>
        <v>0</v>
      </c>
      <c r="L27" s="90">
        <f>'Ind AIS N°9'!H8</f>
        <v>0</v>
      </c>
      <c r="M27" s="89">
        <f>'Ind AIS N°9'!I8</f>
        <v>0</v>
      </c>
      <c r="N27" s="82" t="str">
        <f>'Ind AIS N°9'!J8</f>
        <v>…..</v>
      </c>
      <c r="O27" s="37" t="str">
        <f>'Ind AIS N°9'!K8</f>
        <v>…..</v>
      </c>
    </row>
    <row r="28" spans="1:16" ht="14.5" thickBot="1" x14ac:dyDescent="0.35">
      <c r="B28" s="407"/>
      <c r="C28" s="407"/>
      <c r="D28" s="407"/>
      <c r="E28" s="407"/>
      <c r="F28" s="407"/>
      <c r="G28" s="407"/>
      <c r="H28" s="407"/>
      <c r="I28" s="407"/>
      <c r="J28" s="407"/>
      <c r="K28" s="407"/>
      <c r="L28" s="407"/>
      <c r="M28" s="407"/>
    </row>
    <row r="29" spans="1:16" ht="45" customHeight="1" thickBot="1" x14ac:dyDescent="0.35">
      <c r="B29" s="51"/>
      <c r="C29" s="288"/>
      <c r="D29" s="57" t="s">
        <v>117</v>
      </c>
      <c r="E29" s="58"/>
      <c r="F29" s="59"/>
      <c r="G29" s="63"/>
      <c r="H29" s="60"/>
      <c r="I29" s="55"/>
      <c r="J29" s="87"/>
      <c r="K29" s="87"/>
      <c r="L29" s="88"/>
      <c r="M29" s="56"/>
      <c r="N29" s="210" t="s">
        <v>83</v>
      </c>
      <c r="O29" s="211" t="s">
        <v>84</v>
      </c>
    </row>
    <row r="30" spans="1:16" ht="80.150000000000006" customHeight="1" thickBot="1" x14ac:dyDescent="0.35">
      <c r="B30" s="73" t="s">
        <v>85</v>
      </c>
      <c r="C30" s="288" t="s">
        <v>1</v>
      </c>
      <c r="D30" s="49" t="s">
        <v>118</v>
      </c>
      <c r="E30" s="50" t="s">
        <v>244</v>
      </c>
      <c r="F30" s="59"/>
      <c r="G30" s="62">
        <f>SUM(H30:I30,K30)</f>
        <v>0</v>
      </c>
      <c r="H30" s="36">
        <f>'Ind AIS N°11a'!D8</f>
        <v>0</v>
      </c>
      <c r="I30" s="36">
        <f>'Ind AIS N°11a'!E8</f>
        <v>0</v>
      </c>
      <c r="J30" s="43">
        <f>'Ind AIS N°11a'!F8</f>
        <v>0</v>
      </c>
      <c r="K30" s="76">
        <f>'Ind AIS N°11a'!G8</f>
        <v>0</v>
      </c>
      <c r="L30" s="82">
        <f>'Ind AIS N°11a'!H8</f>
        <v>0</v>
      </c>
      <c r="M30" s="47">
        <f>'Ind AIS N°11a'!I8</f>
        <v>0</v>
      </c>
      <c r="N30" s="82" t="str">
        <f>'Ind AIS N°11a'!J8</f>
        <v>…..</v>
      </c>
      <c r="O30" s="47" t="str">
        <f>'Ind AIS N°11a'!K8</f>
        <v>…..</v>
      </c>
    </row>
    <row r="31" spans="1:16" ht="80.150000000000006" customHeight="1" thickBot="1" x14ac:dyDescent="0.35">
      <c r="B31" s="73" t="s">
        <v>85</v>
      </c>
      <c r="C31" s="288" t="s">
        <v>2</v>
      </c>
      <c r="D31" s="49" t="s">
        <v>119</v>
      </c>
      <c r="E31" s="50" t="s">
        <v>245</v>
      </c>
      <c r="F31" s="59"/>
      <c r="G31" s="62">
        <f>SUM(H31:I31,K31)</f>
        <v>0</v>
      </c>
      <c r="H31" s="36">
        <f>'Ind AIS N°11b'!D8</f>
        <v>0</v>
      </c>
      <c r="I31" s="36">
        <f>'Ind AIS N°11b'!E8</f>
        <v>0</v>
      </c>
      <c r="J31" s="43">
        <f>'Ind AIS N°11b'!F8</f>
        <v>0</v>
      </c>
      <c r="K31" s="76">
        <f>'Ind AIS N°11b'!G8</f>
        <v>0</v>
      </c>
      <c r="L31" s="82">
        <f>'Ind AIS N°11b'!H8</f>
        <v>0</v>
      </c>
      <c r="M31" s="47">
        <f>'Ind AIS N°11b'!I8</f>
        <v>0</v>
      </c>
      <c r="N31" s="82" t="str">
        <f>'Ind AIS N°11b'!J8</f>
        <v>…..</v>
      </c>
      <c r="O31" s="47" t="str">
        <f>'Ind AIS N°11b'!K8</f>
        <v>…..</v>
      </c>
    </row>
    <row r="32" spans="1:16" ht="14.5" thickBot="1" x14ac:dyDescent="0.35">
      <c r="B32" s="407"/>
      <c r="C32" s="407"/>
      <c r="D32" s="407"/>
      <c r="E32" s="407"/>
      <c r="F32" s="407"/>
      <c r="G32" s="407"/>
      <c r="H32" s="407"/>
      <c r="I32" s="407"/>
      <c r="J32" s="407"/>
      <c r="K32" s="407"/>
      <c r="L32" s="407"/>
      <c r="M32" s="407"/>
    </row>
    <row r="33" spans="2:15" ht="45" customHeight="1" thickBot="1" x14ac:dyDescent="0.35">
      <c r="B33" s="51"/>
      <c r="C33" s="288"/>
      <c r="D33" s="52" t="s">
        <v>120</v>
      </c>
      <c r="E33" s="53"/>
      <c r="F33" s="54"/>
      <c r="G33" s="61"/>
      <c r="H33" s="60"/>
      <c r="I33" s="55"/>
      <c r="J33" s="87"/>
      <c r="K33" s="87"/>
      <c r="L33" s="88"/>
      <c r="M33" s="56"/>
      <c r="N33" s="210" t="s">
        <v>83</v>
      </c>
      <c r="O33" s="211" t="s">
        <v>84</v>
      </c>
    </row>
    <row r="34" spans="2:15" ht="80.150000000000006" customHeight="1" thickBot="1" x14ac:dyDescent="0.35">
      <c r="B34" s="73" t="s">
        <v>85</v>
      </c>
      <c r="C34" s="288">
        <v>14</v>
      </c>
      <c r="D34" s="34" t="s">
        <v>120</v>
      </c>
      <c r="E34" s="35" t="s">
        <v>121</v>
      </c>
      <c r="F34" s="54"/>
      <c r="G34" s="62">
        <f>SUM(H34:I34,K34)</f>
        <v>0</v>
      </c>
      <c r="H34" s="36">
        <f>'Ind AIS N°14'!D8</f>
        <v>0</v>
      </c>
      <c r="I34" s="36">
        <f>'Ind AIS N°14'!E8</f>
        <v>0</v>
      </c>
      <c r="J34" s="43">
        <f>'Ind AIS N°14'!F8</f>
        <v>0</v>
      </c>
      <c r="K34" s="76">
        <f>'Ind AIS N°14'!G8</f>
        <v>0</v>
      </c>
      <c r="L34" s="82">
        <f>'Ind AIS N°14'!H8</f>
        <v>0</v>
      </c>
      <c r="M34" s="47">
        <f>'Ind AIS N°14'!I8</f>
        <v>0</v>
      </c>
      <c r="N34" s="82" t="str">
        <f>'Ind AIS N°14'!J8</f>
        <v>…..</v>
      </c>
      <c r="O34" s="47" t="str">
        <f>'Ind AIS N°14'!K8</f>
        <v>…..</v>
      </c>
    </row>
  </sheetData>
  <sheetProtection algorithmName="SHA-512" hashValue="NLHf9quDHsWiOWlmqNQukFGOZS/L7cv38qmXUvMhVFXJ3+i3WBKTGLOR7dfzFMw9bBiK4O51MrD6fht1Q/hIWg==" saltValue="bUQN6F1mvZBFsigiUgW58A==" spinCount="100000" sheet="1" selectLockedCells="1" selectUnlockedCells="1"/>
  <customSheetViews>
    <customSheetView guid="{168849A9-FED9-4458-942F-290616B3A25C}" scale="50" showPageBreaks="1" showGridLines="0" fitToPage="1" printArea="1">
      <selection activeCell="A3" sqref="A3:N3"/>
      <pageMargins left="0.70866141732283472" right="0.70866141732283472" top="1.1811023622047245" bottom="0.78740157480314965" header="0.31496062992125984" footer="0.31496062992125984"/>
      <pageSetup paperSize="8" scale="77" fitToHeight="0" orientation="landscape" cellComments="atEnd" r:id="rId1"/>
      <headerFooter>
        <oddHeader>&amp;LKennzahlenraster KIP / IAS&amp;R&amp;G</oddHeader>
        <oddFooter>&amp;L&amp;A&amp;R&amp;P</oddFooter>
      </headerFooter>
    </customSheetView>
  </customSheetViews>
  <mergeCells count="24">
    <mergeCell ref="N20:O20"/>
    <mergeCell ref="N5:O5"/>
    <mergeCell ref="N8:O17"/>
    <mergeCell ref="E13:E14"/>
    <mergeCell ref="B2:D2"/>
    <mergeCell ref="B9:B12"/>
    <mergeCell ref="B13:B14"/>
    <mergeCell ref="D9:D12"/>
    <mergeCell ref="B1:E1"/>
    <mergeCell ref="B16:B17"/>
    <mergeCell ref="B32:M32"/>
    <mergeCell ref="B28:M28"/>
    <mergeCell ref="B25:M25"/>
    <mergeCell ref="B21:M21"/>
    <mergeCell ref="B18:D18"/>
    <mergeCell ref="E16:E17"/>
    <mergeCell ref="D16:D17"/>
    <mergeCell ref="C16:C17"/>
    <mergeCell ref="E9:E12"/>
    <mergeCell ref="C6:M6"/>
    <mergeCell ref="E5:F5"/>
    <mergeCell ref="C9:C12"/>
    <mergeCell ref="C13:C14"/>
    <mergeCell ref="D13:D14"/>
  </mergeCells>
  <pageMargins left="0.70866141732283472" right="0.70866141732283472" top="1.1811023622047245" bottom="0.78740157480314965" header="0.31496062992125984" footer="0.31496062992125984"/>
  <pageSetup paperSize="8" scale="77" fitToHeight="0" orientation="landscape" cellComments="atEnd" r:id="rId2"/>
  <headerFoot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theme="3" tint="0.59999389629810485"/>
    <pageSetUpPr fitToPage="1"/>
  </sheetPr>
  <dimension ref="B1:K64"/>
  <sheetViews>
    <sheetView showGridLines="0" zoomScale="75" zoomScaleNormal="75" zoomScalePageLayoutView="70" workbookViewId="0">
      <selection activeCell="D8" sqref="D8"/>
    </sheetView>
  </sheetViews>
  <sheetFormatPr baseColWidth="10" defaultColWidth="11" defaultRowHeight="14" x14ac:dyDescent="0.3"/>
  <cols>
    <col min="1" max="1" width="2.08203125" style="13" customWidth="1"/>
    <col min="2" max="2" width="40.25" style="13" customWidth="1"/>
    <col min="3" max="9" width="15.83203125" style="13" customWidth="1"/>
    <col min="10" max="10" width="2.58203125" style="13" customWidth="1"/>
    <col min="11" max="11" width="63.58203125" style="13" customWidth="1"/>
    <col min="12" max="12" width="2.08203125" style="13" customWidth="1"/>
    <col min="13" max="16384" width="11" style="13"/>
  </cols>
  <sheetData>
    <row r="1" spans="2:11" s="1" customFormat="1" ht="28" x14ac:dyDescent="0.6">
      <c r="B1" s="444" t="s">
        <v>189</v>
      </c>
      <c r="C1" s="444"/>
      <c r="D1" s="444"/>
      <c r="E1" s="444"/>
      <c r="F1" s="444"/>
      <c r="G1" s="444"/>
      <c r="H1" s="444"/>
      <c r="I1" s="444"/>
    </row>
    <row r="2" spans="2:11" s="1" customFormat="1" x14ac:dyDescent="0.3">
      <c r="B2" s="16"/>
      <c r="C2" s="16"/>
      <c r="D2" s="16"/>
      <c r="E2" s="16"/>
      <c r="F2" s="16"/>
      <c r="G2" s="16"/>
    </row>
    <row r="3" spans="2:11" s="1" customFormat="1" ht="28.5" customHeight="1" x14ac:dyDescent="0.3">
      <c r="B3" s="296" t="s">
        <v>44</v>
      </c>
      <c r="C3" s="446" t="str">
        <f>'Table des matières'!D4</f>
        <v>CH</v>
      </c>
      <c r="D3" s="446"/>
      <c r="E3" s="93"/>
      <c r="F3" s="93"/>
    </row>
    <row r="4" spans="2:11" s="1" customFormat="1" ht="28.5" customHeight="1" x14ac:dyDescent="0.3">
      <c r="B4" s="296" t="s">
        <v>65</v>
      </c>
      <c r="C4" s="445"/>
      <c r="D4" s="445"/>
      <c r="E4" s="93"/>
      <c r="F4" s="93"/>
      <c r="H4" s="94"/>
    </row>
    <row r="5" spans="2:11" ht="14.15" customHeight="1" thickBot="1" x14ac:dyDescent="0.35"/>
    <row r="6" spans="2:11" ht="45" customHeight="1" thickBot="1" x14ac:dyDescent="0.35">
      <c r="B6" s="447"/>
      <c r="C6" s="448"/>
      <c r="D6" s="448"/>
      <c r="E6" s="448"/>
      <c r="F6" s="448"/>
      <c r="G6" s="448"/>
      <c r="H6" s="448"/>
      <c r="I6" s="449"/>
      <c r="K6" s="67" t="s">
        <v>126</v>
      </c>
    </row>
    <row r="7" spans="2:11" s="16" customFormat="1" ht="45" customHeight="1" thickBot="1" x14ac:dyDescent="0.35">
      <c r="B7" s="166" t="s">
        <v>122</v>
      </c>
      <c r="C7" s="162" t="s">
        <v>0</v>
      </c>
      <c r="D7" s="163" t="s">
        <v>76</v>
      </c>
      <c r="E7" s="163" t="s">
        <v>77</v>
      </c>
      <c r="F7" s="163" t="s">
        <v>161</v>
      </c>
      <c r="G7" s="163" t="s">
        <v>78</v>
      </c>
      <c r="H7" s="164" t="s">
        <v>123</v>
      </c>
      <c r="I7" s="165" t="s">
        <v>124</v>
      </c>
      <c r="J7" s="13"/>
      <c r="K7" s="450"/>
    </row>
    <row r="8" spans="2:11" ht="60" customHeight="1" thickBot="1" x14ac:dyDescent="0.35">
      <c r="B8" s="291" t="s">
        <v>212</v>
      </c>
      <c r="C8" s="96">
        <f>SUM(D8:E8,G8)</f>
        <v>0</v>
      </c>
      <c r="D8" s="97"/>
      <c r="E8" s="98"/>
      <c r="F8" s="98"/>
      <c r="G8" s="98"/>
      <c r="H8" s="119"/>
      <c r="I8" s="99"/>
      <c r="K8" s="451"/>
    </row>
    <row r="9" spans="2:11" ht="43.5" customHeight="1" thickBot="1" x14ac:dyDescent="0.35">
      <c r="B9" s="242" t="s">
        <v>229</v>
      </c>
      <c r="C9" s="243">
        <f>SUM(D9:E9,G9)</f>
        <v>4906</v>
      </c>
      <c r="D9" s="244">
        <f>VLOOKUP($C$3,bestand_ias,3,FALSE)</f>
        <v>2346</v>
      </c>
      <c r="E9" s="244">
        <f>VLOOKUP($C$3,bestand_ias,4,FALSE)</f>
        <v>2560</v>
      </c>
      <c r="F9" s="244">
        <f>VLOOKUP($C$3,bestand_ias,5,FALSE)</f>
        <v>44464</v>
      </c>
      <c r="G9" s="244" t="s">
        <v>36</v>
      </c>
      <c r="H9" s="244">
        <f>VLOOKUP($C$3,bestand_ias,6,FALSE)</f>
        <v>1594</v>
      </c>
      <c r="I9" s="245">
        <f>VLOOKUP($C$3,bestand_ias,7,FALSE)</f>
        <v>3312</v>
      </c>
      <c r="K9" s="451"/>
    </row>
    <row r="10" spans="2:11" ht="14.15" customHeight="1" x14ac:dyDescent="0.3">
      <c r="B10" s="1" t="s">
        <v>246</v>
      </c>
      <c r="K10" s="451"/>
    </row>
    <row r="11" spans="2:11" ht="14.15" customHeight="1" thickBot="1" x14ac:dyDescent="0.35">
      <c r="K11" s="451"/>
    </row>
    <row r="12" spans="2:11" ht="45" customHeight="1" thickBot="1" x14ac:dyDescent="0.35">
      <c r="B12" s="453" t="s">
        <v>125</v>
      </c>
      <c r="C12" s="454"/>
      <c r="D12" s="454"/>
      <c r="E12" s="454"/>
      <c r="F12" s="454"/>
      <c r="G12" s="454"/>
      <c r="H12" s="454"/>
      <c r="I12" s="455"/>
      <c r="J12" s="14"/>
      <c r="K12" s="451"/>
    </row>
    <row r="13" spans="2:11" ht="37.5" customHeight="1" x14ac:dyDescent="0.3">
      <c r="B13" s="18" t="s">
        <v>127</v>
      </c>
      <c r="C13" s="456" t="s">
        <v>171</v>
      </c>
      <c r="D13" s="456"/>
      <c r="E13" s="456"/>
      <c r="F13" s="456"/>
      <c r="G13" s="456"/>
      <c r="H13" s="456"/>
      <c r="I13" s="457"/>
      <c r="J13" s="12"/>
      <c r="K13" s="451"/>
    </row>
    <row r="14" spans="2:11" ht="134.25" customHeight="1" x14ac:dyDescent="0.3">
      <c r="B14" s="19" t="s">
        <v>69</v>
      </c>
      <c r="C14" s="458" t="s">
        <v>201</v>
      </c>
      <c r="D14" s="458"/>
      <c r="E14" s="458"/>
      <c r="F14" s="458"/>
      <c r="G14" s="458"/>
      <c r="H14" s="458"/>
      <c r="I14" s="459"/>
      <c r="J14" s="12"/>
      <c r="K14" s="451"/>
    </row>
    <row r="15" spans="2:11" ht="67" customHeight="1" thickBot="1" x14ac:dyDescent="0.35">
      <c r="B15" s="20" t="s">
        <v>128</v>
      </c>
      <c r="C15" s="460" t="s">
        <v>226</v>
      </c>
      <c r="D15" s="460"/>
      <c r="E15" s="460"/>
      <c r="F15" s="460"/>
      <c r="G15" s="460"/>
      <c r="H15" s="460"/>
      <c r="I15" s="461"/>
      <c r="J15" s="12"/>
      <c r="K15" s="452"/>
    </row>
    <row r="16" spans="2:11" ht="14.15" customHeight="1" x14ac:dyDescent="0.3"/>
    <row r="17" spans="3:3" ht="14.15" customHeight="1" x14ac:dyDescent="0.3"/>
    <row r="18" spans="3:3" ht="14.15" customHeight="1" x14ac:dyDescent="0.3"/>
    <row r="19" spans="3:3" ht="14.15" customHeight="1" x14ac:dyDescent="0.3">
      <c r="C19" s="17"/>
    </row>
    <row r="20" spans="3:3" ht="14.15" customHeight="1" x14ac:dyDescent="0.3"/>
    <row r="21" spans="3:3" ht="14.15" customHeight="1" x14ac:dyDescent="0.3"/>
    <row r="22" spans="3:3" ht="14.15" customHeight="1" x14ac:dyDescent="0.3"/>
    <row r="23" spans="3:3" ht="14.15" customHeight="1" x14ac:dyDescent="0.3"/>
    <row r="24" spans="3:3" ht="14.15" customHeight="1" x14ac:dyDescent="0.3"/>
    <row r="25" spans="3:3" ht="14.15" customHeight="1" x14ac:dyDescent="0.3"/>
    <row r="26" spans="3:3" ht="14.15" customHeight="1" x14ac:dyDescent="0.3"/>
    <row r="27" spans="3:3" ht="14.15" customHeight="1" x14ac:dyDescent="0.3"/>
    <row r="28" spans="3:3" ht="14.15" customHeight="1" x14ac:dyDescent="0.3"/>
    <row r="29" spans="3:3" ht="14.15" customHeight="1" x14ac:dyDescent="0.3"/>
    <row r="30" spans="3:3" ht="14.15" customHeight="1" x14ac:dyDescent="0.3"/>
    <row r="31" spans="3:3" ht="14.15" customHeight="1" x14ac:dyDescent="0.3"/>
    <row r="32" spans="3:3"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row r="40" ht="14.15" customHeight="1" x14ac:dyDescent="0.3"/>
    <row r="41" ht="14.15" customHeight="1" x14ac:dyDescent="0.3"/>
    <row r="42" ht="14.15" customHeight="1" x14ac:dyDescent="0.3"/>
    <row r="43" ht="14.15" customHeight="1" x14ac:dyDescent="0.3"/>
    <row r="44" ht="14.15" customHeight="1" x14ac:dyDescent="0.3"/>
    <row r="45" ht="14.15" customHeight="1" x14ac:dyDescent="0.3"/>
    <row r="46" ht="14.15" customHeight="1" x14ac:dyDescent="0.3"/>
    <row r="47" ht="14.15" customHeight="1" x14ac:dyDescent="0.3"/>
    <row r="48" ht="14.15" customHeight="1" x14ac:dyDescent="0.3"/>
    <row r="49" ht="14.15" customHeight="1" x14ac:dyDescent="0.3"/>
    <row r="50" ht="14.15" customHeight="1" x14ac:dyDescent="0.3"/>
    <row r="51" ht="14.15" customHeight="1" x14ac:dyDescent="0.3"/>
    <row r="52" ht="14.15" customHeight="1" x14ac:dyDescent="0.3"/>
    <row r="53" ht="14.15" customHeight="1" x14ac:dyDescent="0.3"/>
    <row r="54" ht="14.15" customHeight="1" x14ac:dyDescent="0.3"/>
    <row r="55" ht="14.15" customHeight="1" x14ac:dyDescent="0.3"/>
    <row r="56" ht="14.15" customHeight="1" x14ac:dyDescent="0.3"/>
    <row r="57" ht="14.15" customHeight="1" x14ac:dyDescent="0.3"/>
    <row r="58" ht="14.15" customHeight="1" x14ac:dyDescent="0.3"/>
    <row r="59" ht="14.15" customHeight="1" x14ac:dyDescent="0.3"/>
    <row r="60" ht="14.15" customHeight="1" x14ac:dyDescent="0.3"/>
    <row r="61" ht="14.15" customHeight="1" x14ac:dyDescent="0.3"/>
    <row r="62" ht="14.15" customHeight="1" x14ac:dyDescent="0.3"/>
    <row r="63" ht="14.15" customHeight="1" x14ac:dyDescent="0.3"/>
    <row r="64" ht="14.15" customHeight="1" x14ac:dyDescent="0.3"/>
  </sheetData>
  <sheetProtection algorithmName="SHA-512" hashValue="m1ZrDKd2dZ9K2mtBCCklWIsma8ARJdZJExtIhAJD4/nMl+Xu3RmlYW4GbUGSuLxozsXyHqeWSnU/chQzff/PMw==" saltValue="TFG/8fYsP1eiCuLG3mwShA==" spinCount="100000" sheet="1" selectLockedCells="1"/>
  <protectedRanges>
    <protectedRange password="CAA2" sqref="C8:C9" name="Summe"/>
  </protectedRanges>
  <sortState xmlns:xlrd2="http://schemas.microsoft.com/office/spreadsheetml/2017/richdata2" ref="B5:B30">
    <sortCondition ref="B5"/>
  </sortState>
  <customSheetViews>
    <customSheetView guid="{168849A9-FED9-4458-942F-290616B3A25C}" scale="70" showPageBreaks="1" showGridLines="0" fitToPage="1" printArea="1" view="pageLayout" topLeftCell="A7">
      <selection activeCell="C15" sqref="C15:H15"/>
      <pageMargins left="0.70866141732283472" right="0.70866141732283472" top="1.1811023622047245" bottom="0.78740157480314965" header="0.31496062992125984" footer="0.31496062992125984"/>
      <pageSetup paperSize="8" scale="87" fitToHeight="0" orientation="landscape" cellComments="atEnd" r:id="rId1"/>
      <headerFooter>
        <oddHeader>&amp;LKennzahlenraster KIP / IAS&amp;R&amp;G</oddHeader>
        <oddFooter>&amp;L&amp;A: Erstinformation&amp;R&amp;P</oddFooter>
      </headerFooter>
    </customSheetView>
  </customSheetViews>
  <mergeCells count="9">
    <mergeCell ref="B1:I1"/>
    <mergeCell ref="C4:D4"/>
    <mergeCell ref="C3:D3"/>
    <mergeCell ref="B6:I6"/>
    <mergeCell ref="K7:K15"/>
    <mergeCell ref="B12:I12"/>
    <mergeCell ref="C13:I13"/>
    <mergeCell ref="C14:I14"/>
    <mergeCell ref="C15:I15"/>
  </mergeCells>
  <dataValidations count="3">
    <dataValidation type="whole" operator="greaterThanOrEqual" allowBlank="1" showErrorMessage="1" errorTitle="Fehler" error="Gültig sind nur positive, ganze Zahlen (0, 200, etc.). Kein Text" promptTitle="Ganze Zahlen" prompt="Nur ganzzahlige Werte (0, 1, 200 etc.)" sqref="D8:I8" xr:uid="{00000000-0002-0000-0400-000000000000}">
      <formula1>0</formula1>
    </dataValidation>
    <dataValidation type="date" allowBlank="1" showInputMessage="1" showErrorMessage="1" error="Veuillez saisir une date de saisie comprise entre le 01.01.2023 et le 31.12.2023." promptTitle="Date de la saisie " prompt="Veuillez saisir la date de la saisie des données" sqref="C4:D4" xr:uid="{00000000-0002-0000-0400-000001000000}">
      <formula1>44927</formula1>
      <formula2>45291</formula2>
    </dataValidation>
    <dataValidation operator="greaterThanOrEqual" allowBlank="1" sqref="D9:I9" xr:uid="{00000000-0002-0000-0400-000002000000}"/>
  </dataValidations>
  <pageMargins left="0.70866141732283472" right="0.70866141732283472" top="1.1811023622047245" bottom="0.78740157480314965" header="0.31496062992125984" footer="0.31496062992125984"/>
  <pageSetup paperSize="8" scale="87" fitToHeight="0" orientation="landscape" cellComments="atEnd" r:id="rId2"/>
  <headerFooter>
    <oddFooter>&amp;L&amp;A: Erstinformation&amp;R&amp;P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theme="3" tint="0.59999389629810485"/>
    <pageSetUpPr fitToPage="1"/>
  </sheetPr>
  <dimension ref="B1:L45"/>
  <sheetViews>
    <sheetView showGridLines="0" zoomScale="75" zoomScaleNormal="75" workbookViewId="0">
      <selection activeCell="E8" sqref="E8"/>
    </sheetView>
  </sheetViews>
  <sheetFormatPr baseColWidth="10" defaultColWidth="11" defaultRowHeight="14" x14ac:dyDescent="0.3"/>
  <cols>
    <col min="1" max="1" width="2.08203125" style="13" customWidth="1"/>
    <col min="2" max="2" width="40.83203125" style="13" customWidth="1"/>
    <col min="3" max="3" width="30.83203125" style="13" customWidth="1"/>
    <col min="4" max="10" width="15.83203125" style="13" customWidth="1"/>
    <col min="11" max="11" width="2.58203125" style="13" customWidth="1"/>
    <col min="12" max="12" width="63.58203125" style="13" customWidth="1"/>
    <col min="13" max="13" width="2.08203125" style="13" customWidth="1"/>
    <col min="14" max="16384" width="11" style="13"/>
  </cols>
  <sheetData>
    <row r="1" spans="2:12" s="1" customFormat="1" ht="28" x14ac:dyDescent="0.6">
      <c r="B1" s="444" t="s">
        <v>129</v>
      </c>
      <c r="C1" s="444"/>
      <c r="D1" s="444"/>
      <c r="E1" s="444"/>
      <c r="F1" s="444"/>
      <c r="G1" s="444"/>
      <c r="H1" s="444"/>
      <c r="I1" s="444"/>
      <c r="J1" s="444"/>
    </row>
    <row r="2" spans="2:12" s="1" customFormat="1" x14ac:dyDescent="0.3">
      <c r="B2" s="16"/>
      <c r="C2" s="16"/>
      <c r="E2" s="16"/>
      <c r="F2" s="16"/>
      <c r="G2" s="16"/>
    </row>
    <row r="3" spans="2:12" s="1" customFormat="1" ht="28.5" customHeight="1" x14ac:dyDescent="0.3">
      <c r="B3" s="296" t="s">
        <v>44</v>
      </c>
      <c r="C3" s="116" t="str">
        <f>'Table des matières'!D4</f>
        <v>CH</v>
      </c>
      <c r="E3" s="93"/>
      <c r="F3" s="93"/>
    </row>
    <row r="4" spans="2:12" s="1" customFormat="1" ht="28.5" customHeight="1" x14ac:dyDescent="0.3">
      <c r="B4" s="296" t="s">
        <v>65</v>
      </c>
      <c r="C4" s="117"/>
      <c r="E4" s="93"/>
      <c r="F4" s="93"/>
      <c r="H4" s="94"/>
    </row>
    <row r="5" spans="2:12" ht="14.15" customHeight="1" thickBot="1" x14ac:dyDescent="0.35">
      <c r="B5" s="15"/>
      <c r="C5" s="15"/>
    </row>
    <row r="6" spans="2:12" ht="45" customHeight="1" thickBot="1" x14ac:dyDescent="0.35">
      <c r="B6" s="462"/>
      <c r="C6" s="463"/>
      <c r="D6" s="463"/>
      <c r="E6" s="463"/>
      <c r="F6" s="463"/>
      <c r="G6" s="463"/>
      <c r="H6" s="463"/>
      <c r="I6" s="463"/>
      <c r="J6" s="464"/>
      <c r="L6" s="67" t="s">
        <v>126</v>
      </c>
    </row>
    <row r="7" spans="2:12" s="16" customFormat="1" ht="45" customHeight="1" thickBot="1" x14ac:dyDescent="0.35">
      <c r="B7" s="166" t="s">
        <v>122</v>
      </c>
      <c r="C7" s="161"/>
      <c r="D7" s="162" t="s">
        <v>0</v>
      </c>
      <c r="E7" s="163" t="s">
        <v>76</v>
      </c>
      <c r="F7" s="163" t="s">
        <v>77</v>
      </c>
      <c r="G7" s="163" t="s">
        <v>161</v>
      </c>
      <c r="H7" s="163" t="s">
        <v>78</v>
      </c>
      <c r="I7" s="164" t="s">
        <v>123</v>
      </c>
      <c r="J7" s="159" t="s">
        <v>124</v>
      </c>
      <c r="K7" s="121"/>
      <c r="L7" s="450"/>
    </row>
    <row r="8" spans="2:12" ht="50.15" customHeight="1" x14ac:dyDescent="0.3">
      <c r="B8" s="468" t="s">
        <v>90</v>
      </c>
      <c r="C8" s="22" t="s">
        <v>130</v>
      </c>
      <c r="D8" s="101">
        <f>SUM(E8:F8,H8)</f>
        <v>0</v>
      </c>
      <c r="E8" s="97"/>
      <c r="F8" s="97"/>
      <c r="G8" s="98"/>
      <c r="H8" s="98"/>
      <c r="I8" s="119"/>
      <c r="J8" s="99"/>
      <c r="L8" s="451"/>
    </row>
    <row r="9" spans="2:12" ht="50.15" customHeight="1" x14ac:dyDescent="0.3">
      <c r="B9" s="469"/>
      <c r="C9" s="290" t="s">
        <v>131</v>
      </c>
      <c r="D9" s="102">
        <f t="shared" ref="D9:D11" si="0">SUM(E9:F9,H9)</f>
        <v>0</v>
      </c>
      <c r="E9" s="103"/>
      <c r="F9" s="103"/>
      <c r="G9" s="104"/>
      <c r="H9" s="104"/>
      <c r="I9" s="104"/>
      <c r="J9" s="105"/>
      <c r="L9" s="451"/>
    </row>
    <row r="10" spans="2:12" ht="50.15" customHeight="1" x14ac:dyDescent="0.3">
      <c r="B10" s="469"/>
      <c r="C10" s="290" t="s">
        <v>132</v>
      </c>
      <c r="D10" s="102">
        <f>SUM(E10:F10,H10)</f>
        <v>0</v>
      </c>
      <c r="E10" s="103"/>
      <c r="F10" s="103"/>
      <c r="G10" s="104"/>
      <c r="H10" s="104"/>
      <c r="I10" s="104"/>
      <c r="J10" s="105"/>
      <c r="L10" s="451"/>
    </row>
    <row r="11" spans="2:12" ht="50.15" customHeight="1" thickBot="1" x14ac:dyDescent="0.35">
      <c r="B11" s="469"/>
      <c r="C11" s="23" t="s">
        <v>133</v>
      </c>
      <c r="D11" s="106">
        <f t="shared" si="0"/>
        <v>0</v>
      </c>
      <c r="E11" s="107"/>
      <c r="F11" s="107"/>
      <c r="G11" s="108"/>
      <c r="H11" s="108"/>
      <c r="I11" s="108"/>
      <c r="J11" s="109"/>
      <c r="L11" s="451"/>
    </row>
    <row r="12" spans="2:12" ht="50.15" customHeight="1" thickBot="1" x14ac:dyDescent="0.35">
      <c r="B12" s="469"/>
      <c r="C12" s="297" t="s">
        <v>0</v>
      </c>
      <c r="D12" s="118">
        <f>SUM(E12:F12,H12)</f>
        <v>0</v>
      </c>
      <c r="E12" s="310">
        <f>SUM(E8:E11)</f>
        <v>0</v>
      </c>
      <c r="F12" s="111">
        <f t="shared" ref="F12:J12" si="1">SUM(F8:F11)</f>
        <v>0</v>
      </c>
      <c r="G12" s="111">
        <f t="shared" si="1"/>
        <v>0</v>
      </c>
      <c r="H12" s="111">
        <f>SUM(H8:H11)</f>
        <v>0</v>
      </c>
      <c r="I12" s="111">
        <f t="shared" si="1"/>
        <v>0</v>
      </c>
      <c r="J12" s="112">
        <f t="shared" si="1"/>
        <v>0</v>
      </c>
      <c r="L12" s="451"/>
    </row>
    <row r="13" spans="2:12" ht="43.5" customHeight="1" thickBot="1" x14ac:dyDescent="0.35">
      <c r="B13" s="242" t="s">
        <v>229</v>
      </c>
      <c r="C13" s="242"/>
      <c r="D13" s="243">
        <f>SUM(E13:F13,H13)</f>
        <v>4906</v>
      </c>
      <c r="E13" s="246">
        <f>VLOOKUP($C$3,bestand_ias,3,FALSE)</f>
        <v>2346</v>
      </c>
      <c r="F13" s="250">
        <f>VLOOKUP($C$3,bestand_ias,4,FALSE)</f>
        <v>2560</v>
      </c>
      <c r="G13" s="247">
        <f>VLOOKUP($C$3,bestand_ias,5,FALSE)</f>
        <v>44464</v>
      </c>
      <c r="H13" s="247" t="s">
        <v>36</v>
      </c>
      <c r="I13" s="247">
        <f>VLOOKUP($C$3,bestand_ias,6,FALSE)</f>
        <v>1594</v>
      </c>
      <c r="J13" s="248">
        <f>VLOOKUP($C$3,bestand_ias,7,FALSE)</f>
        <v>3312</v>
      </c>
      <c r="L13" s="451"/>
    </row>
    <row r="14" spans="2:12" ht="14.15" customHeight="1" x14ac:dyDescent="0.3">
      <c r="B14" s="13" t="s">
        <v>246</v>
      </c>
      <c r="L14" s="451"/>
    </row>
    <row r="15" spans="2:12" ht="14.15" customHeight="1" thickBot="1" x14ac:dyDescent="0.35">
      <c r="L15" s="451"/>
    </row>
    <row r="16" spans="2:12" ht="45" customHeight="1" thickBot="1" x14ac:dyDescent="0.35">
      <c r="B16" s="453" t="s">
        <v>125</v>
      </c>
      <c r="C16" s="454"/>
      <c r="D16" s="454"/>
      <c r="E16" s="454"/>
      <c r="F16" s="454"/>
      <c r="G16" s="454"/>
      <c r="H16" s="454"/>
      <c r="I16" s="454"/>
      <c r="J16" s="455"/>
      <c r="K16" s="14"/>
      <c r="L16" s="451"/>
    </row>
    <row r="17" spans="2:12" ht="81" customHeight="1" x14ac:dyDescent="0.3">
      <c r="B17" s="18" t="s">
        <v>127</v>
      </c>
      <c r="C17" s="470" t="s">
        <v>172</v>
      </c>
      <c r="D17" s="471"/>
      <c r="E17" s="471"/>
      <c r="F17" s="471"/>
      <c r="G17" s="471"/>
      <c r="H17" s="471"/>
      <c r="I17" s="471"/>
      <c r="J17" s="472"/>
      <c r="K17" s="12"/>
      <c r="L17" s="451"/>
    </row>
    <row r="18" spans="2:12" ht="155.5" customHeight="1" x14ac:dyDescent="0.3">
      <c r="B18" s="19" t="s">
        <v>69</v>
      </c>
      <c r="C18" s="473" t="s">
        <v>227</v>
      </c>
      <c r="D18" s="474"/>
      <c r="E18" s="474"/>
      <c r="F18" s="474"/>
      <c r="G18" s="474"/>
      <c r="H18" s="474"/>
      <c r="I18" s="474"/>
      <c r="J18" s="475"/>
      <c r="K18" s="12"/>
      <c r="L18" s="451"/>
    </row>
    <row r="19" spans="2:12" ht="48.75" customHeight="1" thickBot="1" x14ac:dyDescent="0.35">
      <c r="B19" s="20" t="s">
        <v>128</v>
      </c>
      <c r="C19" s="465" t="s">
        <v>226</v>
      </c>
      <c r="D19" s="466"/>
      <c r="E19" s="466"/>
      <c r="F19" s="466"/>
      <c r="G19" s="466"/>
      <c r="H19" s="466"/>
      <c r="I19" s="466"/>
      <c r="J19" s="467"/>
      <c r="K19" s="12"/>
      <c r="L19" s="452"/>
    </row>
    <row r="20" spans="2:12" ht="14.15" customHeight="1" x14ac:dyDescent="0.3"/>
    <row r="21" spans="2:12" ht="14.15" customHeight="1" x14ac:dyDescent="0.3"/>
    <row r="22" spans="2:12" ht="14.15" customHeight="1" x14ac:dyDescent="0.3"/>
    <row r="23" spans="2:12" ht="14.15" customHeight="1" x14ac:dyDescent="0.3">
      <c r="D23" s="17"/>
    </row>
    <row r="24" spans="2:12" ht="14.15" customHeight="1" x14ac:dyDescent="0.3"/>
    <row r="25" spans="2:12" ht="14.15" customHeight="1" x14ac:dyDescent="0.3"/>
    <row r="26" spans="2:12" ht="14.15" customHeight="1" x14ac:dyDescent="0.3"/>
    <row r="27" spans="2:12" ht="14.15" customHeight="1" x14ac:dyDescent="0.3"/>
    <row r="28" spans="2:12" ht="14.15" customHeight="1" x14ac:dyDescent="0.3"/>
    <row r="29" spans="2:12" ht="14.15" customHeight="1" x14ac:dyDescent="0.3"/>
    <row r="30" spans="2:12" ht="14.15" customHeight="1" x14ac:dyDescent="0.3"/>
    <row r="31" spans="2:12" ht="14.15" customHeight="1" x14ac:dyDescent="0.3"/>
    <row r="32" spans="2:12"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row r="40" ht="14.15" customHeight="1" x14ac:dyDescent="0.3"/>
    <row r="41" ht="14.15" customHeight="1" x14ac:dyDescent="0.3"/>
    <row r="42" ht="14.15" customHeight="1" x14ac:dyDescent="0.3"/>
    <row r="43" ht="14.15" customHeight="1" x14ac:dyDescent="0.3"/>
    <row r="44" ht="14.15" customHeight="1" x14ac:dyDescent="0.3"/>
    <row r="45" ht="14.15" customHeight="1" x14ac:dyDescent="0.3"/>
  </sheetData>
  <sheetProtection algorithmName="SHA-512" hashValue="5zB6NLJWoeceC7+zqzP/3k/bIyGUWdzu5CuLnk0lDhFuIkXdyJCLyOCTn7l+3PBOjX2Sj8CisvEBgjD9K3kuqg==" saltValue="Gh1r9EHeSweODGNuyAT2RQ==" spinCount="100000" sheet="1" selectLockedCells="1"/>
  <protectedRanges>
    <protectedRange password="CAA2" sqref="D8:D13" name="Summe"/>
  </protectedRanges>
  <customSheetViews>
    <customSheetView guid="{168849A9-FED9-4458-942F-290616B3A25C}" scale="85" showPageBreaks="1" showGridLines="0" fitToPage="1" printArea="1" topLeftCell="A13">
      <selection activeCell="C17" sqref="C17:I17"/>
      <pageMargins left="0.70866141732283472" right="0.70866141732283472" top="1.1811023622047245" bottom="0.78740157480314965" header="0.31496062992125984" footer="0.31496062992125984"/>
      <pageSetup paperSize="8" scale="77" fitToHeight="0" orientation="landscape" cellComments="atEnd" r:id="rId1"/>
      <headerFooter>
        <oddHeader>&amp;LKennzahlenraster KIP / IAS&amp;R&amp;G</oddHeader>
        <oddFooter>&amp;L&amp;A: Arbeitserfahrung&amp;R&amp;P</oddFooter>
      </headerFooter>
    </customSheetView>
  </customSheetViews>
  <mergeCells count="8">
    <mergeCell ref="B6:J6"/>
    <mergeCell ref="B1:J1"/>
    <mergeCell ref="L7:L19"/>
    <mergeCell ref="B16:J16"/>
    <mergeCell ref="C19:J19"/>
    <mergeCell ref="B8:B12"/>
    <mergeCell ref="C17:J17"/>
    <mergeCell ref="C18:J18"/>
  </mergeCells>
  <dataValidations count="4">
    <dataValidation type="whole" operator="greaterThanOrEqual" allowBlank="1" showErrorMessage="1" errorTitle="Fehler" error="Gültig sind nur positive, ganze Zahlen (0, 200, etc.). Kein Text" promptTitle="Ganze Zahlen" prompt="Nur ganzzahlige Werte (0, 1, 200 etc.)" sqref="E8:J12" xr:uid="{00000000-0002-0000-0500-000000000000}">
      <formula1>0</formula1>
    </dataValidation>
    <dataValidation type="date" allowBlank="1" showInputMessage="1" showErrorMessage="1" errorTitle="Erfassungsdatum" error="Bitte Erfassungsdatum eingeben" promptTitle="Erfassungsdatum" prompt="Bitte Erfassungsdatum eingeben" sqref="D4" xr:uid="{00000000-0002-0000-0500-000001000000}">
      <formula1>44197</formula1>
      <formula2>44561</formula2>
    </dataValidation>
    <dataValidation operator="greaterThanOrEqual" allowBlank="1" promptTitle="Ganze Zahlen" sqref="E13:J13" xr:uid="{00000000-0002-0000-0500-000002000000}"/>
    <dataValidation type="date" allowBlank="1" showInputMessage="1" showErrorMessage="1" error="Veuillez saisir une date de saisie comprise entre le 01.01.2023 et le 31.12.2023." promptTitle="Date de la saisie" prompt="Veuillez saisir la date de la saisie des données" sqref="C4" xr:uid="{00000000-0002-0000-0500-000003000000}">
      <formula1>44927</formula1>
      <formula2>45291</formula2>
    </dataValidation>
  </dataValidations>
  <pageMargins left="0.70866141732283472" right="0.70866141732283472" top="1.1811023622047245" bottom="0.78740157480314965" header="0.31496062992125984" footer="0.31496062992125984"/>
  <pageSetup paperSize="8" scale="77" fitToHeight="0" orientation="landscape" cellComments="atEnd" r:id="rId2"/>
  <headerFooter>
    <oddFooter>&amp;L&amp;A: Arbeitserfahrung&amp;R&amp;P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theme="3" tint="0.59999389629810485"/>
    <pageSetUpPr fitToPage="1"/>
  </sheetPr>
  <dimension ref="B1:L76"/>
  <sheetViews>
    <sheetView showGridLines="0" zoomScale="75" zoomScaleNormal="75" workbookViewId="0">
      <selection activeCell="E8" sqref="E8"/>
    </sheetView>
  </sheetViews>
  <sheetFormatPr baseColWidth="10" defaultColWidth="11" defaultRowHeight="14" x14ac:dyDescent="0.3"/>
  <cols>
    <col min="1" max="1" width="2.08203125" style="13" customWidth="1"/>
    <col min="2" max="2" width="39.75" style="13" customWidth="1"/>
    <col min="3" max="3" width="12.08203125" style="13" customWidth="1"/>
    <col min="4" max="10" width="15.83203125" style="13" customWidth="1"/>
    <col min="11" max="11" width="2.58203125" style="13" customWidth="1"/>
    <col min="12" max="12" width="63.58203125" style="13" customWidth="1"/>
    <col min="13" max="13" width="2.08203125" style="13" customWidth="1"/>
    <col min="14" max="16384" width="11" style="13"/>
  </cols>
  <sheetData>
    <row r="1" spans="2:12" s="1" customFormat="1" ht="25" x14ac:dyDescent="0.5">
      <c r="B1" s="476" t="s">
        <v>134</v>
      </c>
      <c r="C1" s="476"/>
      <c r="D1" s="476"/>
      <c r="E1" s="476"/>
      <c r="F1" s="476"/>
      <c r="G1" s="476"/>
      <c r="H1" s="476"/>
      <c r="I1" s="476"/>
      <c r="J1" s="476"/>
    </row>
    <row r="2" spans="2:12" s="1" customFormat="1" x14ac:dyDescent="0.3">
      <c r="B2" s="16"/>
      <c r="C2" s="16"/>
      <c r="D2" s="16"/>
      <c r="E2" s="16"/>
      <c r="F2" s="16"/>
      <c r="G2" s="16"/>
    </row>
    <row r="3" spans="2:12" s="1" customFormat="1" ht="28.5" customHeight="1" x14ac:dyDescent="0.3">
      <c r="B3" s="296" t="s">
        <v>44</v>
      </c>
      <c r="C3" s="446" t="str">
        <f>'Table des matières'!D4</f>
        <v>CH</v>
      </c>
      <c r="D3" s="446"/>
      <c r="E3" s="93"/>
      <c r="F3" s="93"/>
    </row>
    <row r="4" spans="2:12" s="1" customFormat="1" ht="28.5" customHeight="1" x14ac:dyDescent="0.3">
      <c r="B4" s="296" t="s">
        <v>65</v>
      </c>
      <c r="C4" s="445"/>
      <c r="D4" s="445"/>
      <c r="E4" s="93"/>
      <c r="F4" s="93"/>
      <c r="H4" s="94"/>
    </row>
    <row r="5" spans="2:12" ht="14.15" customHeight="1" thickBot="1" x14ac:dyDescent="0.35"/>
    <row r="6" spans="2:12" ht="45" customHeight="1" thickBot="1" x14ac:dyDescent="0.35">
      <c r="B6" s="447"/>
      <c r="C6" s="448"/>
      <c r="D6" s="448"/>
      <c r="E6" s="448"/>
      <c r="F6" s="448"/>
      <c r="G6" s="448"/>
      <c r="H6" s="448"/>
      <c r="I6" s="448"/>
      <c r="J6" s="449"/>
      <c r="L6" s="67" t="s">
        <v>126</v>
      </c>
    </row>
    <row r="7" spans="2:12" s="16" customFormat="1" ht="45" customHeight="1" thickBot="1" x14ac:dyDescent="0.35">
      <c r="B7" s="166" t="s">
        <v>122</v>
      </c>
      <c r="C7" s="161"/>
      <c r="D7" s="162" t="s">
        <v>0</v>
      </c>
      <c r="E7" s="163" t="s">
        <v>76</v>
      </c>
      <c r="F7" s="163" t="s">
        <v>77</v>
      </c>
      <c r="G7" s="163" t="s">
        <v>161</v>
      </c>
      <c r="H7" s="163" t="s">
        <v>78</v>
      </c>
      <c r="I7" s="164" t="s">
        <v>123</v>
      </c>
      <c r="J7" s="167" t="s">
        <v>124</v>
      </c>
      <c r="K7" s="121"/>
      <c r="L7" s="477"/>
    </row>
    <row r="8" spans="2:12" ht="60" customHeight="1" x14ac:dyDescent="0.3">
      <c r="B8" s="468" t="s">
        <v>135</v>
      </c>
      <c r="C8" s="292" t="s">
        <v>97</v>
      </c>
      <c r="D8" s="102">
        <f>SUM(E8:F8,H8)</f>
        <v>0</v>
      </c>
      <c r="E8" s="97"/>
      <c r="F8" s="97"/>
      <c r="G8" s="98"/>
      <c r="H8" s="98"/>
      <c r="I8" s="119"/>
      <c r="J8" s="99"/>
      <c r="L8" s="478"/>
    </row>
    <row r="9" spans="2:12" ht="60" customHeight="1" thickBot="1" x14ac:dyDescent="0.35">
      <c r="B9" s="469"/>
      <c r="C9" s="292" t="s">
        <v>98</v>
      </c>
      <c r="D9" s="102">
        <f>SUM(E9:F9,H9)</f>
        <v>0</v>
      </c>
      <c r="E9" s="107"/>
      <c r="F9" s="107"/>
      <c r="G9" s="108"/>
      <c r="H9" s="108"/>
      <c r="I9" s="108"/>
      <c r="J9" s="109"/>
      <c r="L9" s="478"/>
    </row>
    <row r="10" spans="2:12" ht="60" customHeight="1" thickBot="1" x14ac:dyDescent="0.35">
      <c r="B10" s="484"/>
      <c r="C10" s="297" t="s">
        <v>0</v>
      </c>
      <c r="D10" s="118">
        <f>SUM(E10:F10,H10)</f>
        <v>0</v>
      </c>
      <c r="E10" s="113">
        <f>SUM(E8:E9)</f>
        <v>0</v>
      </c>
      <c r="F10" s="309">
        <f t="shared" ref="F10:J10" si="0">SUM(F8:F9)</f>
        <v>0</v>
      </c>
      <c r="G10" s="114">
        <f t="shared" si="0"/>
        <v>0</v>
      </c>
      <c r="H10" s="114">
        <f t="shared" si="0"/>
        <v>0</v>
      </c>
      <c r="I10" s="114">
        <f t="shared" si="0"/>
        <v>0</v>
      </c>
      <c r="J10" s="115">
        <f t="shared" si="0"/>
        <v>0</v>
      </c>
      <c r="L10" s="478"/>
    </row>
    <row r="11" spans="2:12" ht="43.5" customHeight="1" thickBot="1" x14ac:dyDescent="0.35">
      <c r="B11" s="249" t="s">
        <v>229</v>
      </c>
      <c r="C11" s="242"/>
      <c r="D11" s="243">
        <f>SUM(E11:F11,H11)</f>
        <v>4906</v>
      </c>
      <c r="E11" s="250">
        <f>VLOOKUP($C$3,bestand_ias,3,FALSE)</f>
        <v>2346</v>
      </c>
      <c r="F11" s="250">
        <f>VLOOKUP($C$3,bestand_ias,4,FALSE)</f>
        <v>2560</v>
      </c>
      <c r="G11" s="247">
        <f>VLOOKUP($C$3,bestand_ias,5,FALSE)</f>
        <v>44464</v>
      </c>
      <c r="H11" s="247" t="s">
        <v>36</v>
      </c>
      <c r="I11" s="247">
        <f>VLOOKUP($C$3,bestand_ias,6,FALSE)</f>
        <v>1594</v>
      </c>
      <c r="J11" s="248">
        <f>VLOOKUP($C$3,bestand_ias,7,FALSE)</f>
        <v>3312</v>
      </c>
      <c r="L11" s="478"/>
    </row>
    <row r="12" spans="2:12" ht="14.15" customHeight="1" x14ac:dyDescent="0.3">
      <c r="B12" s="342" t="s">
        <v>246</v>
      </c>
      <c r="L12" s="478"/>
    </row>
    <row r="13" spans="2:12" ht="14.15" customHeight="1" thickBot="1" x14ac:dyDescent="0.35">
      <c r="L13" s="478"/>
    </row>
    <row r="14" spans="2:12" ht="45" customHeight="1" thickBot="1" x14ac:dyDescent="0.35">
      <c r="B14" s="453" t="s">
        <v>125</v>
      </c>
      <c r="C14" s="454"/>
      <c r="D14" s="454"/>
      <c r="E14" s="454"/>
      <c r="F14" s="454"/>
      <c r="G14" s="454"/>
      <c r="H14" s="454"/>
      <c r="I14" s="454"/>
      <c r="J14" s="455"/>
      <c r="K14" s="14"/>
      <c r="L14" s="478"/>
    </row>
    <row r="15" spans="2:12" ht="52" customHeight="1" x14ac:dyDescent="0.3">
      <c r="B15" s="18" t="s">
        <v>127</v>
      </c>
      <c r="C15" s="470" t="s">
        <v>173</v>
      </c>
      <c r="D15" s="480"/>
      <c r="E15" s="480"/>
      <c r="F15" s="480"/>
      <c r="G15" s="480"/>
      <c r="H15" s="480"/>
      <c r="I15" s="480"/>
      <c r="J15" s="481"/>
      <c r="K15" s="12"/>
      <c r="L15" s="478"/>
    </row>
    <row r="16" spans="2:12" ht="144.65" customHeight="1" x14ac:dyDescent="0.3">
      <c r="B16" s="19" t="s">
        <v>69</v>
      </c>
      <c r="C16" s="473" t="s">
        <v>228</v>
      </c>
      <c r="D16" s="482"/>
      <c r="E16" s="482"/>
      <c r="F16" s="482"/>
      <c r="G16" s="482"/>
      <c r="H16" s="482"/>
      <c r="I16" s="482"/>
      <c r="J16" s="483"/>
      <c r="K16" s="12"/>
      <c r="L16" s="478"/>
    </row>
    <row r="17" spans="2:12" ht="51" customHeight="1" thickBot="1" x14ac:dyDescent="0.35">
      <c r="B17" s="20" t="s">
        <v>128</v>
      </c>
      <c r="C17" s="465" t="s">
        <v>226</v>
      </c>
      <c r="D17" s="466"/>
      <c r="E17" s="466"/>
      <c r="F17" s="466"/>
      <c r="G17" s="466"/>
      <c r="H17" s="466"/>
      <c r="I17" s="466"/>
      <c r="J17" s="467"/>
      <c r="K17" s="12"/>
      <c r="L17" s="479"/>
    </row>
    <row r="18" spans="2:12" ht="14.15" customHeight="1" x14ac:dyDescent="0.3"/>
    <row r="19" spans="2:12" ht="14.15" customHeight="1" x14ac:dyDescent="0.3"/>
    <row r="20" spans="2:12" ht="14.15" customHeight="1" x14ac:dyDescent="0.3"/>
    <row r="21" spans="2:12" ht="14.15" customHeight="1" x14ac:dyDescent="0.3">
      <c r="D21" s="17"/>
    </row>
    <row r="22" spans="2:12" ht="14.15" customHeight="1" x14ac:dyDescent="0.3"/>
    <row r="23" spans="2:12" ht="14.15" customHeight="1" x14ac:dyDescent="0.3"/>
    <row r="24" spans="2:12" ht="14.15" customHeight="1" x14ac:dyDescent="0.3"/>
    <row r="25" spans="2:12" ht="14.15" customHeight="1" x14ac:dyDescent="0.3"/>
    <row r="26" spans="2:12" ht="14.15" customHeight="1" x14ac:dyDescent="0.3"/>
    <row r="27" spans="2:12" ht="14.15" customHeight="1" x14ac:dyDescent="0.3"/>
    <row r="28" spans="2:12" ht="14.15" customHeight="1" x14ac:dyDescent="0.3"/>
    <row r="29" spans="2:12" ht="14.15" customHeight="1" x14ac:dyDescent="0.3"/>
    <row r="30" spans="2:12" ht="14.15" customHeight="1" x14ac:dyDescent="0.3"/>
    <row r="31" spans="2:12" ht="14.15" customHeight="1" x14ac:dyDescent="0.3"/>
    <row r="32" spans="2:12"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row r="40" ht="14.15" customHeight="1" x14ac:dyDescent="0.3"/>
    <row r="41" ht="14.15" customHeight="1" x14ac:dyDescent="0.3"/>
    <row r="42" ht="14.15" customHeight="1" x14ac:dyDescent="0.3"/>
    <row r="43" ht="14.15" customHeight="1" x14ac:dyDescent="0.3"/>
    <row r="44" ht="14.15" customHeight="1" x14ac:dyDescent="0.3"/>
    <row r="45" ht="14.15" customHeight="1" x14ac:dyDescent="0.3"/>
    <row r="46" ht="14.15" customHeight="1" x14ac:dyDescent="0.3"/>
    <row r="47" ht="14.15" customHeight="1" x14ac:dyDescent="0.3"/>
    <row r="48" ht="14.15" customHeight="1" x14ac:dyDescent="0.3"/>
    <row r="49" ht="14.15" customHeight="1" x14ac:dyDescent="0.3"/>
    <row r="50" ht="14.15" customHeight="1" x14ac:dyDescent="0.3"/>
    <row r="51" ht="14.15" customHeight="1" x14ac:dyDescent="0.3"/>
    <row r="52" ht="14.15" customHeight="1" x14ac:dyDescent="0.3"/>
    <row r="53" ht="14.15" customHeight="1" x14ac:dyDescent="0.3"/>
    <row r="54" ht="14.15" customHeight="1" x14ac:dyDescent="0.3"/>
    <row r="55" ht="14.15" customHeight="1" x14ac:dyDescent="0.3"/>
    <row r="56" ht="14.15" customHeight="1" x14ac:dyDescent="0.3"/>
    <row r="57" ht="14.15" customHeight="1" x14ac:dyDescent="0.3"/>
    <row r="58" ht="14.15" customHeight="1" x14ac:dyDescent="0.3"/>
    <row r="59" ht="14.15" customHeight="1" x14ac:dyDescent="0.3"/>
    <row r="60" ht="14.15" customHeight="1" x14ac:dyDescent="0.3"/>
    <row r="61" ht="14.15" customHeight="1" x14ac:dyDescent="0.3"/>
    <row r="62" ht="14.15" customHeight="1" x14ac:dyDescent="0.3"/>
    <row r="63" ht="14.15" customHeight="1" x14ac:dyDescent="0.3"/>
    <row r="64" ht="14.15" customHeight="1" x14ac:dyDescent="0.3"/>
    <row r="65" ht="14.15" customHeight="1" x14ac:dyDescent="0.3"/>
    <row r="66" ht="14.15" customHeight="1" x14ac:dyDescent="0.3"/>
    <row r="67" ht="14.15" customHeight="1" x14ac:dyDescent="0.3"/>
    <row r="68" ht="14.15" customHeight="1" x14ac:dyDescent="0.3"/>
    <row r="69" ht="14.15" customHeight="1" x14ac:dyDescent="0.3"/>
    <row r="70" ht="14.15" customHeight="1" x14ac:dyDescent="0.3"/>
    <row r="71" ht="14.15" customHeight="1" x14ac:dyDescent="0.3"/>
    <row r="72" ht="14.15" customHeight="1" x14ac:dyDescent="0.3"/>
    <row r="73" ht="14.15" customHeight="1" x14ac:dyDescent="0.3"/>
    <row r="74" ht="14.15" customHeight="1" x14ac:dyDescent="0.3"/>
    <row r="75" ht="14.15" customHeight="1" x14ac:dyDescent="0.3"/>
    <row r="76" ht="14.15" customHeight="1" x14ac:dyDescent="0.3"/>
  </sheetData>
  <sheetProtection algorithmName="SHA-512" hashValue="IVqwAq6webLbgun687GMzeXB2qE1te6ZkVUCZIcV/ipF7o6VDH1/jaj6v2wZshDPp/LQt8eqcTll4ca7i9evaw==" saltValue="gshLH9/QfTBTupO3NnA3/w==" spinCount="100000" sheet="1" selectLockedCells="1"/>
  <protectedRanges>
    <protectedRange password="CAA2" sqref="D8:D11" name="Summe"/>
  </protectedRanges>
  <customSheetViews>
    <customSheetView guid="{168849A9-FED9-4458-942F-290616B3A25C}" scale="85" showPageBreaks="1" showGridLines="0" fitToPage="1" printArea="1" topLeftCell="A13">
      <selection activeCell="C16" sqref="C16:I16"/>
      <pageMargins left="0.70866141732283472" right="0.70866141732283472" top="1.1811023622047245" bottom="0.78740157480314965" header="0.31496062992125984" footer="0.31496062992125984"/>
      <pageSetup paperSize="8" scale="83" fitToHeight="0" orientation="landscape" cellComments="atEnd" r:id="rId1"/>
      <headerFooter>
        <oddHeader>&amp;LKennzahlenraster KIP / IAS&amp;R&amp;G</oddHeader>
        <oddFooter>&amp;L&amp;A: Bildung&amp;R&amp;P</oddFooter>
      </headerFooter>
    </customSheetView>
  </customSheetViews>
  <mergeCells count="10">
    <mergeCell ref="B1:J1"/>
    <mergeCell ref="L7:L17"/>
    <mergeCell ref="B14:J14"/>
    <mergeCell ref="C17:J17"/>
    <mergeCell ref="C3:D3"/>
    <mergeCell ref="C4:D4"/>
    <mergeCell ref="C15:J15"/>
    <mergeCell ref="C16:J16"/>
    <mergeCell ref="B6:J6"/>
    <mergeCell ref="B8:B10"/>
  </mergeCells>
  <dataValidations count="3">
    <dataValidation type="whole" operator="greaterThanOrEqual" allowBlank="1" showErrorMessage="1" errorTitle="Fehler" error="Gültig sind nur positive, ganze Zahlen (0, 200, etc.). Kein Text" promptTitle="Ganze Zahlen" prompt="Nur ganzzahlige Werte (0, 1, 200 etc.)" sqref="E8:J10" xr:uid="{00000000-0002-0000-0600-000000000000}">
      <formula1>0</formula1>
    </dataValidation>
    <dataValidation type="date" allowBlank="1" showInputMessage="1" showErrorMessage="1" error="Veuillez saisir une date de saisie comprise entre le 01.01.2023 et le 31.12.2023." promptTitle="Date de la saisie" prompt="Veuillez saisir la date de la saisie des données" sqref="C4:D4" xr:uid="{00000000-0002-0000-0600-000001000000}">
      <formula1>44927</formula1>
      <formula2>45291</formula2>
    </dataValidation>
    <dataValidation allowBlank="1" sqref="D11:J11" xr:uid="{00000000-0002-0000-0600-000002000000}"/>
  </dataValidations>
  <pageMargins left="0.70866141732283472" right="0.70866141732283472" top="1.1811023622047245" bottom="0.78740157480314965" header="0.31496062992125984" footer="0.31496062992125984"/>
  <pageSetup paperSize="8" scale="83" fitToHeight="0" orientation="landscape" cellComments="atEnd" r:id="rId2"/>
  <headerFooter>
    <oddFooter>&amp;L&amp;A: Bildung&amp;R&amp;P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theme="3" tint="0.59999389629810485"/>
    <pageSetUpPr fitToPage="1"/>
  </sheetPr>
  <dimension ref="B1:K33"/>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9.25" style="13" customWidth="1"/>
    <col min="3" max="9" width="15.83203125" style="13" customWidth="1"/>
    <col min="10" max="10" width="2.58203125" style="13" customWidth="1"/>
    <col min="11" max="11" width="63.58203125" style="13" customWidth="1"/>
    <col min="12" max="12" width="2.08203125" style="13" customWidth="1"/>
    <col min="13" max="16384" width="11" style="13"/>
  </cols>
  <sheetData>
    <row r="1" spans="2:11" s="1" customFormat="1" ht="25" x14ac:dyDescent="0.5">
      <c r="B1" s="476" t="s">
        <v>136</v>
      </c>
      <c r="C1" s="476"/>
      <c r="D1" s="476"/>
      <c r="E1" s="476"/>
      <c r="F1" s="476"/>
      <c r="G1" s="476"/>
      <c r="H1" s="476"/>
      <c r="I1" s="476"/>
    </row>
    <row r="2" spans="2:11" s="1" customFormat="1" x14ac:dyDescent="0.3">
      <c r="B2" s="16"/>
      <c r="C2" s="16"/>
      <c r="D2" s="16"/>
      <c r="E2" s="16"/>
      <c r="F2" s="16"/>
      <c r="G2" s="16"/>
    </row>
    <row r="3" spans="2:11" s="1" customFormat="1" ht="28.5" customHeight="1" x14ac:dyDescent="0.3">
      <c r="B3" s="296" t="s">
        <v>44</v>
      </c>
      <c r="C3" s="446" t="str">
        <f>'Table des matières'!D4</f>
        <v>CH</v>
      </c>
      <c r="D3" s="446"/>
      <c r="E3" s="93"/>
      <c r="F3" s="93"/>
    </row>
    <row r="4" spans="2:11" s="1" customFormat="1" ht="28.5" customHeight="1" x14ac:dyDescent="0.3">
      <c r="B4" s="296" t="s">
        <v>65</v>
      </c>
      <c r="C4" s="445"/>
      <c r="D4" s="445"/>
      <c r="E4" s="93"/>
      <c r="F4" s="93"/>
      <c r="H4" s="94"/>
    </row>
    <row r="5" spans="2:11" ht="14.15" customHeight="1" thickBot="1" x14ac:dyDescent="0.35"/>
    <row r="6" spans="2:11" ht="45" customHeight="1" thickBot="1" x14ac:dyDescent="0.35">
      <c r="B6" s="447"/>
      <c r="C6" s="448"/>
      <c r="D6" s="448"/>
      <c r="E6" s="448"/>
      <c r="F6" s="448"/>
      <c r="G6" s="448"/>
      <c r="H6" s="448"/>
      <c r="I6" s="449"/>
      <c r="K6" s="67" t="s">
        <v>126</v>
      </c>
    </row>
    <row r="7" spans="2:11" s="16" customFormat="1" ht="45" customHeight="1" thickBot="1" x14ac:dyDescent="0.35">
      <c r="B7" s="166" t="s">
        <v>122</v>
      </c>
      <c r="C7" s="162" t="s">
        <v>0</v>
      </c>
      <c r="D7" s="163" t="s">
        <v>76</v>
      </c>
      <c r="E7" s="163" t="s">
        <v>77</v>
      </c>
      <c r="F7" s="163" t="s">
        <v>161</v>
      </c>
      <c r="G7" s="163" t="s">
        <v>78</v>
      </c>
      <c r="H7" s="164" t="s">
        <v>123</v>
      </c>
      <c r="I7" s="165" t="s">
        <v>124</v>
      </c>
      <c r="J7" s="121"/>
      <c r="K7" s="450"/>
    </row>
    <row r="8" spans="2:11" ht="60" customHeight="1" thickBot="1" x14ac:dyDescent="0.35">
      <c r="B8" s="293" t="s">
        <v>211</v>
      </c>
      <c r="C8" s="96">
        <f>SUM(D8:E8,G8)</f>
        <v>0</v>
      </c>
      <c r="D8" s="97"/>
      <c r="E8" s="98"/>
      <c r="F8" s="98"/>
      <c r="G8" s="98"/>
      <c r="H8" s="119"/>
      <c r="I8" s="99"/>
      <c r="K8" s="451"/>
    </row>
    <row r="9" spans="2:11" ht="43.5" customHeight="1" thickBot="1" x14ac:dyDescent="0.35">
      <c r="B9" s="251" t="s">
        <v>229</v>
      </c>
      <c r="C9" s="252">
        <f>SUM(D9:E9,G9)</f>
        <v>4906</v>
      </c>
      <c r="D9" s="250">
        <f>VLOOKUP($C$3,bestand_ias,3,FALSE)</f>
        <v>2346</v>
      </c>
      <c r="E9" s="247">
        <f>VLOOKUP($C$3,bestand_ias,4,FALSE)</f>
        <v>2560</v>
      </c>
      <c r="F9" s="247">
        <f>VLOOKUP($C$3,bestand_ias,5,FALSE)</f>
        <v>44464</v>
      </c>
      <c r="G9" s="247" t="s">
        <v>36</v>
      </c>
      <c r="H9" s="247">
        <f>VLOOKUP($C$3,bestand_ias,6,FALSE)</f>
        <v>1594</v>
      </c>
      <c r="I9" s="248">
        <f>VLOOKUP($C$3,bestand_ias,7,FALSE)</f>
        <v>3312</v>
      </c>
      <c r="K9" s="451"/>
    </row>
    <row r="10" spans="2:11" ht="14.15" customHeight="1" x14ac:dyDescent="0.3">
      <c r="B10" s="13" t="s">
        <v>246</v>
      </c>
      <c r="K10" s="451"/>
    </row>
    <row r="11" spans="2:11" ht="14.15" customHeight="1" thickBot="1" x14ac:dyDescent="0.35">
      <c r="K11" s="451"/>
    </row>
    <row r="12" spans="2:11" ht="14.5" thickBot="1" x14ac:dyDescent="0.35">
      <c r="B12" s="453" t="s">
        <v>125</v>
      </c>
      <c r="C12" s="454"/>
      <c r="D12" s="454"/>
      <c r="E12" s="454"/>
      <c r="F12" s="454"/>
      <c r="G12" s="454"/>
      <c r="H12" s="454"/>
      <c r="I12" s="455"/>
      <c r="J12" s="14"/>
      <c r="K12" s="451"/>
    </row>
    <row r="13" spans="2:11" ht="37.5" customHeight="1" x14ac:dyDescent="0.3">
      <c r="B13" s="18" t="s">
        <v>127</v>
      </c>
      <c r="C13" s="456" t="s">
        <v>200</v>
      </c>
      <c r="D13" s="456"/>
      <c r="E13" s="456"/>
      <c r="F13" s="456"/>
      <c r="G13" s="456"/>
      <c r="H13" s="456"/>
      <c r="I13" s="457"/>
      <c r="J13" s="12"/>
      <c r="K13" s="451"/>
    </row>
    <row r="14" spans="2:11" ht="121.5" customHeight="1" x14ac:dyDescent="0.3">
      <c r="B14" s="19" t="s">
        <v>69</v>
      </c>
      <c r="C14" s="458" t="s">
        <v>196</v>
      </c>
      <c r="D14" s="458"/>
      <c r="E14" s="458"/>
      <c r="F14" s="458"/>
      <c r="G14" s="458"/>
      <c r="H14" s="458"/>
      <c r="I14" s="459"/>
      <c r="J14" s="12"/>
      <c r="K14" s="451"/>
    </row>
    <row r="15" spans="2:11" ht="67" customHeight="1" thickBot="1" x14ac:dyDescent="0.35">
      <c r="B15" s="20" t="s">
        <v>128</v>
      </c>
      <c r="C15" s="460" t="s">
        <v>226</v>
      </c>
      <c r="D15" s="460"/>
      <c r="E15" s="460"/>
      <c r="F15" s="460"/>
      <c r="G15" s="460"/>
      <c r="H15" s="460"/>
      <c r="I15" s="461"/>
      <c r="J15" s="12"/>
      <c r="K15" s="452"/>
    </row>
    <row r="16" spans="2:11" ht="14.15" customHeight="1" x14ac:dyDescent="0.3"/>
    <row r="17" spans="3:3" ht="14.15" customHeight="1" x14ac:dyDescent="0.3"/>
    <row r="18" spans="3:3" ht="14.15" customHeight="1" x14ac:dyDescent="0.3"/>
    <row r="19" spans="3:3" ht="14.15" customHeight="1" x14ac:dyDescent="0.3">
      <c r="C19" s="17"/>
    </row>
    <row r="20" spans="3:3" ht="14.15" customHeight="1" x14ac:dyDescent="0.3"/>
    <row r="21" spans="3:3" ht="14.15" customHeight="1" x14ac:dyDescent="0.3"/>
    <row r="22" spans="3:3" ht="14.15" customHeight="1" x14ac:dyDescent="0.3"/>
    <row r="23" spans="3:3" ht="14.15" customHeight="1" x14ac:dyDescent="0.3"/>
    <row r="24" spans="3:3" ht="14.15" customHeight="1" x14ac:dyDescent="0.3"/>
    <row r="25" spans="3:3" ht="14.15" customHeight="1" x14ac:dyDescent="0.3"/>
    <row r="26" spans="3:3" ht="14.15" customHeight="1" x14ac:dyDescent="0.3"/>
    <row r="27" spans="3:3" ht="14.15" customHeight="1" x14ac:dyDescent="0.3"/>
    <row r="28" spans="3:3" ht="14.15" customHeight="1" x14ac:dyDescent="0.3"/>
    <row r="29" spans="3:3" ht="14.15" customHeight="1" x14ac:dyDescent="0.3"/>
    <row r="30" spans="3:3" ht="14.15" customHeight="1" x14ac:dyDescent="0.3"/>
    <row r="31" spans="3:3" ht="14.15" customHeight="1" x14ac:dyDescent="0.3"/>
    <row r="32" spans="3:3" ht="14.15" customHeight="1" x14ac:dyDescent="0.3"/>
    <row r="33" ht="14.15" customHeight="1" x14ac:dyDescent="0.3"/>
  </sheetData>
  <sheetProtection algorithmName="SHA-512" hashValue="F9+RDwVEXABsUCjNrywHO9yZzUxKeiE/0zjrSmwbX3/Z/QtLnSx3A07Th47of+dn5GoH2UZHG5joMyrMtUsVZw==" saltValue="UV+60zA/eNxI0YKpjfV9TQ==" spinCount="100000" sheet="1" selectLockedCells="1"/>
  <protectedRanges>
    <protectedRange password="CAA2" sqref="C8:C9" name="Summe"/>
  </protectedRanges>
  <customSheetViews>
    <customSheetView guid="{168849A9-FED9-4458-942F-290616B3A25C}" scale="70" showPageBreaks="1" showGridLines="0" fitToPage="1" printArea="1">
      <selection activeCell="J7" sqref="J7:J15"/>
      <pageMargins left="0.70866141732283472" right="0.70866141732283472" top="1.1811023622047245" bottom="0.78740157480314965" header="0.31496062992125984" footer="0.31496062992125984"/>
      <pageSetup paperSize="8" scale="83" fitToHeight="0" orientation="landscape" cellComments="atEnd" r:id="rId1"/>
      <headerFooter>
        <oddHeader>&amp;LKennzahlenraster KIP / IAS&amp;R&amp;G</oddHeader>
        <oddFooter>&amp;L&amp;A: Alphabetisierung&amp;R&amp;P</oddFooter>
      </headerFooter>
    </customSheetView>
  </customSheetViews>
  <mergeCells count="9">
    <mergeCell ref="B1:I1"/>
    <mergeCell ref="C3:D3"/>
    <mergeCell ref="C4:D4"/>
    <mergeCell ref="B6:I6"/>
    <mergeCell ref="K7:K15"/>
    <mergeCell ref="B12:I12"/>
    <mergeCell ref="C13:I13"/>
    <mergeCell ref="C14:I14"/>
    <mergeCell ref="C15:I15"/>
  </mergeCells>
  <dataValidations count="3">
    <dataValidation type="whole" operator="greaterThanOrEqual" allowBlank="1" showErrorMessage="1" errorTitle="Fehler" error="Gültig sind nur positive, ganze Zahlen (0, 200, etc.). Kein Text" promptTitle="Ganze Zahlen" prompt="Nur ganzzahlige Werte (0, 1, 200 etc.)" sqref="D8:I8" xr:uid="{00000000-0002-0000-0700-000000000000}">
      <formula1>0</formula1>
    </dataValidation>
    <dataValidation type="date" allowBlank="1" showInputMessage="1" showErrorMessage="1" error="Veuillez saisir une date de saisie comprise entre le 01.01.2023 et le 31.12.2023." promptTitle="Date de la saisie" prompt="Veuillez saisir la date de la saisie des données" sqref="C4:D4" xr:uid="{00000000-0002-0000-0700-000001000000}">
      <formula1>44927</formula1>
      <formula2>45291</formula2>
    </dataValidation>
    <dataValidation allowBlank="1" sqref="C9:I9" xr:uid="{00000000-0002-0000-0700-000002000000}"/>
  </dataValidations>
  <pageMargins left="0.70866141732283472" right="0.70866141732283472" top="1.1811023622047245" bottom="0.78740157480314965" header="0.31496062992125984" footer="0.31496062992125984"/>
  <pageSetup paperSize="8" scale="87" fitToHeight="0" orientation="landscape" cellComments="atEnd" r:id="rId2"/>
  <headerFooter>
    <oddFooter>&amp;L&amp;A: Alphabetisierung&amp;R&amp;P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theme="3" tint="0.59999389629810485"/>
    <pageSetUpPr fitToPage="1"/>
  </sheetPr>
  <dimension ref="B1:L39"/>
  <sheetViews>
    <sheetView showGridLines="0" zoomScale="75" zoomScaleNormal="75" workbookViewId="0">
      <selection activeCell="E8" sqref="E8"/>
    </sheetView>
  </sheetViews>
  <sheetFormatPr baseColWidth="10" defaultColWidth="11" defaultRowHeight="14" x14ac:dyDescent="0.3"/>
  <cols>
    <col min="1" max="1" width="2.08203125" style="13" customWidth="1"/>
    <col min="2" max="2" width="40.08203125" style="13" customWidth="1"/>
    <col min="3" max="3" width="12.08203125" style="13" customWidth="1"/>
    <col min="4" max="10" width="15.83203125" style="13" customWidth="1"/>
    <col min="11" max="11" width="2.58203125" style="13" customWidth="1"/>
    <col min="12" max="12" width="63.58203125" style="13" customWidth="1"/>
    <col min="13" max="13" width="2.08203125" style="13" customWidth="1"/>
    <col min="14" max="16384" width="11" style="13"/>
  </cols>
  <sheetData>
    <row r="1" spans="2:12" s="1" customFormat="1" ht="25" x14ac:dyDescent="0.5">
      <c r="B1" s="476" t="s">
        <v>190</v>
      </c>
      <c r="C1" s="476"/>
      <c r="D1" s="476"/>
      <c r="E1" s="476"/>
      <c r="F1" s="476"/>
      <c r="G1" s="476"/>
      <c r="H1" s="476"/>
      <c r="I1" s="476"/>
      <c r="J1" s="476"/>
    </row>
    <row r="2" spans="2:12" s="1" customFormat="1" x14ac:dyDescent="0.3">
      <c r="B2" s="16"/>
      <c r="C2" s="16"/>
      <c r="D2" s="16"/>
      <c r="E2" s="16"/>
      <c r="F2" s="16"/>
      <c r="G2" s="16"/>
    </row>
    <row r="3" spans="2:12" s="1" customFormat="1" ht="28.5" customHeight="1" x14ac:dyDescent="0.3">
      <c r="B3" s="296" t="s">
        <v>44</v>
      </c>
      <c r="C3" s="446" t="str">
        <f>'Table des matières'!D4</f>
        <v>CH</v>
      </c>
      <c r="D3" s="446"/>
      <c r="E3" s="93"/>
      <c r="F3" s="93"/>
    </row>
    <row r="4" spans="2:12" s="1" customFormat="1" ht="28.5" customHeight="1" x14ac:dyDescent="0.3">
      <c r="B4" s="296" t="s">
        <v>65</v>
      </c>
      <c r="C4" s="445"/>
      <c r="D4" s="445"/>
      <c r="E4" s="93"/>
      <c r="F4" s="93"/>
      <c r="H4" s="94"/>
    </row>
    <row r="5" spans="2:12" ht="14.15" customHeight="1" thickBot="1" x14ac:dyDescent="0.35"/>
    <row r="6" spans="2:12" ht="45" customHeight="1" thickBot="1" x14ac:dyDescent="0.35">
      <c r="B6" s="447"/>
      <c r="C6" s="448"/>
      <c r="D6" s="448"/>
      <c r="E6" s="448"/>
      <c r="F6" s="448"/>
      <c r="G6" s="448"/>
      <c r="H6" s="448"/>
      <c r="I6" s="448"/>
      <c r="J6" s="449"/>
      <c r="L6" s="67" t="s">
        <v>126</v>
      </c>
    </row>
    <row r="7" spans="2:12" s="16" customFormat="1" ht="45" customHeight="1" thickBot="1" x14ac:dyDescent="0.35">
      <c r="B7" s="166" t="s">
        <v>122</v>
      </c>
      <c r="C7" s="161"/>
      <c r="D7" s="162" t="s">
        <v>0</v>
      </c>
      <c r="E7" s="163" t="s">
        <v>76</v>
      </c>
      <c r="F7" s="163" t="s">
        <v>77</v>
      </c>
      <c r="G7" s="163" t="s">
        <v>161</v>
      </c>
      <c r="H7" s="163" t="s">
        <v>78</v>
      </c>
      <c r="I7" s="164" t="s">
        <v>123</v>
      </c>
      <c r="J7" s="159" t="s">
        <v>124</v>
      </c>
      <c r="K7" s="121"/>
      <c r="L7" s="450"/>
    </row>
    <row r="8" spans="2:12" ht="60" customHeight="1" x14ac:dyDescent="0.3">
      <c r="B8" s="468" t="s">
        <v>102</v>
      </c>
      <c r="C8" s="22" t="s">
        <v>103</v>
      </c>
      <c r="D8" s="101">
        <f>SUM(E8:F8,H8)</f>
        <v>0</v>
      </c>
      <c r="E8" s="97"/>
      <c r="F8" s="97"/>
      <c r="G8" s="98"/>
      <c r="H8" s="98"/>
      <c r="I8" s="119"/>
      <c r="J8" s="99"/>
      <c r="L8" s="451"/>
    </row>
    <row r="9" spans="2:12" ht="60" customHeight="1" thickBot="1" x14ac:dyDescent="0.35">
      <c r="B9" s="469"/>
      <c r="C9" s="292" t="s">
        <v>104</v>
      </c>
      <c r="D9" s="177">
        <f>SUM(E9:F9,H9)</f>
        <v>0</v>
      </c>
      <c r="E9" s="107"/>
      <c r="F9" s="107"/>
      <c r="G9" s="108"/>
      <c r="H9" s="108"/>
      <c r="I9" s="108"/>
      <c r="J9" s="109"/>
      <c r="L9" s="451"/>
    </row>
    <row r="10" spans="2:12" ht="60" customHeight="1" thickBot="1" x14ac:dyDescent="0.35">
      <c r="B10" s="21"/>
      <c r="C10" s="297" t="s">
        <v>0</v>
      </c>
      <c r="D10" s="100">
        <f>SUM(E10:F10,H10)</f>
        <v>0</v>
      </c>
      <c r="E10" s="178">
        <f t="shared" ref="E10:J10" si="0">SUM(E8:E9)</f>
        <v>0</v>
      </c>
      <c r="F10" s="178">
        <f t="shared" si="0"/>
        <v>0</v>
      </c>
      <c r="G10" s="111">
        <f t="shared" si="0"/>
        <v>0</v>
      </c>
      <c r="H10" s="111">
        <f t="shared" si="0"/>
        <v>0</v>
      </c>
      <c r="I10" s="111">
        <f t="shared" si="0"/>
        <v>0</v>
      </c>
      <c r="J10" s="112">
        <f t="shared" si="0"/>
        <v>0</v>
      </c>
      <c r="L10" s="451"/>
    </row>
    <row r="11" spans="2:12" ht="43.5" customHeight="1" thickBot="1" x14ac:dyDescent="0.35">
      <c r="B11" s="249" t="s">
        <v>229</v>
      </c>
      <c r="C11" s="242"/>
      <c r="D11" s="253">
        <f>SUM(E11:F11,H11)</f>
        <v>4906</v>
      </c>
      <c r="E11" s="250">
        <f>VLOOKUP($C$3,bestand_ias,3,FALSE)</f>
        <v>2346</v>
      </c>
      <c r="F11" s="250">
        <f>VLOOKUP($C$3,bestand_ias,4,FALSE)</f>
        <v>2560</v>
      </c>
      <c r="G11" s="247">
        <f>VLOOKUP($C$3,bestand_ias,5,FALSE)</f>
        <v>44464</v>
      </c>
      <c r="H11" s="247" t="s">
        <v>36</v>
      </c>
      <c r="I11" s="247">
        <f>VLOOKUP($C$3,bestand_ias,6,FALSE)</f>
        <v>1594</v>
      </c>
      <c r="J11" s="248">
        <f>VLOOKUP($C$3,bestand_ias,7,FALSE)</f>
        <v>3312</v>
      </c>
      <c r="L11" s="451"/>
    </row>
    <row r="12" spans="2:12" ht="14.15" customHeight="1" x14ac:dyDescent="0.3">
      <c r="B12" s="13" t="s">
        <v>246</v>
      </c>
      <c r="L12" s="451"/>
    </row>
    <row r="13" spans="2:12" ht="14.15" customHeight="1" thickBot="1" x14ac:dyDescent="0.35">
      <c r="L13" s="451"/>
    </row>
    <row r="14" spans="2:12" ht="45" customHeight="1" thickBot="1" x14ac:dyDescent="0.35">
      <c r="B14" s="453" t="s">
        <v>125</v>
      </c>
      <c r="C14" s="454"/>
      <c r="D14" s="454"/>
      <c r="E14" s="454"/>
      <c r="F14" s="454"/>
      <c r="G14" s="454"/>
      <c r="H14" s="454"/>
      <c r="I14" s="454"/>
      <c r="J14" s="455"/>
      <c r="K14" s="14"/>
      <c r="L14" s="451"/>
    </row>
    <row r="15" spans="2:12" ht="51" customHeight="1" x14ac:dyDescent="0.3">
      <c r="B15" s="18" t="s">
        <v>127</v>
      </c>
      <c r="C15" s="470" t="s">
        <v>174</v>
      </c>
      <c r="D15" s="480"/>
      <c r="E15" s="480"/>
      <c r="F15" s="480"/>
      <c r="G15" s="480"/>
      <c r="H15" s="480"/>
      <c r="I15" s="480"/>
      <c r="J15" s="481"/>
      <c r="K15" s="12"/>
      <c r="L15" s="451"/>
    </row>
    <row r="16" spans="2:12" ht="105.65" customHeight="1" x14ac:dyDescent="0.3">
      <c r="B16" s="19" t="s">
        <v>69</v>
      </c>
      <c r="C16" s="473" t="s">
        <v>195</v>
      </c>
      <c r="D16" s="482"/>
      <c r="E16" s="482"/>
      <c r="F16" s="482"/>
      <c r="G16" s="482"/>
      <c r="H16" s="482"/>
      <c r="I16" s="482"/>
      <c r="J16" s="483"/>
      <c r="K16" s="12"/>
      <c r="L16" s="451"/>
    </row>
    <row r="17" spans="2:12" ht="64" customHeight="1" thickBot="1" x14ac:dyDescent="0.35">
      <c r="B17" s="20" t="s">
        <v>128</v>
      </c>
      <c r="C17" s="465" t="s">
        <v>226</v>
      </c>
      <c r="D17" s="466"/>
      <c r="E17" s="466"/>
      <c r="F17" s="466"/>
      <c r="G17" s="466"/>
      <c r="H17" s="466"/>
      <c r="I17" s="466"/>
      <c r="J17" s="467"/>
      <c r="K17" s="12"/>
      <c r="L17" s="452"/>
    </row>
    <row r="18" spans="2:12" ht="14.15" customHeight="1" x14ac:dyDescent="0.3"/>
    <row r="19" spans="2:12" ht="14.15" customHeight="1" x14ac:dyDescent="0.3"/>
    <row r="20" spans="2:12" ht="14.15" customHeight="1" x14ac:dyDescent="0.3"/>
    <row r="21" spans="2:12" ht="14.15" customHeight="1" x14ac:dyDescent="0.3">
      <c r="D21" s="17"/>
    </row>
    <row r="22" spans="2:12" ht="14.15" customHeight="1" x14ac:dyDescent="0.3"/>
    <row r="23" spans="2:12" ht="14.15" customHeight="1" x14ac:dyDescent="0.3"/>
    <row r="24" spans="2:12" ht="14.15" customHeight="1" x14ac:dyDescent="0.3"/>
    <row r="25" spans="2:12" ht="14.15" customHeight="1" x14ac:dyDescent="0.3"/>
    <row r="26" spans="2:12" ht="14.15" customHeight="1" x14ac:dyDescent="0.3"/>
    <row r="27" spans="2:12" ht="14.15" customHeight="1" x14ac:dyDescent="0.3"/>
    <row r="28" spans="2:12" ht="14.15" customHeight="1" x14ac:dyDescent="0.3"/>
    <row r="29" spans="2:12" ht="14.15" customHeight="1" x14ac:dyDescent="0.3"/>
    <row r="30" spans="2:12" ht="14.15" customHeight="1" x14ac:dyDescent="0.3"/>
    <row r="31" spans="2:12" ht="14.15" customHeight="1" x14ac:dyDescent="0.3"/>
    <row r="32" spans="2:12"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sheetData>
  <sheetProtection algorithmName="SHA-512" hashValue="1Jr3IcEFLqjgmKFOxyuq6YOes0dzJrlOOusMwZfbiasq7OOPoflvmktc1tRQV0IHGHf2tP5kiv8Vl1FjNFsUWQ==" saltValue="pMBz+77bbKi7GS1zIT8iMg==" spinCount="100000" sheet="1" selectLockedCells="1"/>
  <protectedRanges>
    <protectedRange password="CAA2" sqref="D8:D11" name="Summe"/>
  </protectedRanges>
  <customSheetViews>
    <customSheetView guid="{168849A9-FED9-4458-942F-290616B3A25C}" scale="85" showPageBreaks="1" showGridLines="0" fitToPage="1" printArea="1" topLeftCell="A13">
      <selection activeCell="C15" sqref="C15:I15"/>
      <pageMargins left="0.70866141732283472" right="0.70866141732283472" top="1.1811023622047245" bottom="0.78740157480314965" header="0.31496062992125984" footer="0.31496062992125984"/>
      <pageSetup paperSize="8" scale="83" fitToHeight="0" orientation="landscape" cellComments="atEnd" r:id="rId1"/>
      <headerFooter>
        <oddHeader>&amp;LKennzahlenraster KIP / IAS&amp;R&amp;G</oddHeader>
        <oddFooter>&amp;L&amp;A: Potenzial&amp;R&amp;P</oddFooter>
      </headerFooter>
    </customSheetView>
  </customSheetViews>
  <mergeCells count="10">
    <mergeCell ref="C3:D3"/>
    <mergeCell ref="C4:D4"/>
    <mergeCell ref="C15:J15"/>
    <mergeCell ref="C16:J16"/>
    <mergeCell ref="B1:J1"/>
    <mergeCell ref="C17:J17"/>
    <mergeCell ref="B8:B9"/>
    <mergeCell ref="B6:J6"/>
    <mergeCell ref="L7:L17"/>
    <mergeCell ref="B14:J14"/>
  </mergeCells>
  <dataValidations count="3">
    <dataValidation type="whole" operator="greaterThanOrEqual" allowBlank="1" showErrorMessage="1" errorTitle="Fehler" error="Gültig sind nur positive, ganze Zahlen (0, 200, etc.). Kein Text" promptTitle="Ganze Zahlen" prompt="Nur ganzzahlige Werte (0, 1, 200 etc.)" sqref="E8:J10" xr:uid="{00000000-0002-0000-0800-000000000000}">
      <formula1>0</formula1>
    </dataValidation>
    <dataValidation type="date" allowBlank="1" showInputMessage="1" showErrorMessage="1" error="Veuillez saisir une date de saisie comprise entre le 01.01.2023 et le 31.12.2023." promptTitle="Date de la saisie" prompt="Veuillez saisir la date de la saisie des données" sqref="C4:D4" xr:uid="{00000000-0002-0000-0800-000001000000}">
      <formula1>44927</formula1>
      <formula2>45291</formula2>
    </dataValidation>
    <dataValidation allowBlank="1" sqref="D11:J11" xr:uid="{00000000-0002-0000-0800-000002000000}"/>
  </dataValidations>
  <pageMargins left="0.70866141732283472" right="0.70866141732283472" top="1.1811023622047245" bottom="0.78740157480314965" header="0.31496062992125984" footer="0.31496062992125984"/>
  <pageSetup paperSize="8" scale="83" fitToHeight="0" orientation="landscape" cellComments="atEnd" r:id="rId2"/>
  <headerFooter>
    <oddFooter>&amp;L&amp;A: Potenzial&amp;R&amp;P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x m l n s = " h t t p : / / s c h e m a s . m i c r o s o f t . c o m / D a t a M a s h u p " > A A A A A P w D A A B Q S w M E F A A C A A g A c 1 A v U u Y h O u W o A A A A + A A A A B I A H A B D b 2 5 m a W c v U G F j a 2 F n Z S 5 4 b W w g o h g A K K A U A A A A A A A A A A A A A A A A A A A A A A A A A A A A h Y 9 N D o I w G E S v Q r q n f y p R 8 1 E W b F x I Y m J i 3 D Z Q o R G K o c V y N x c e y S t I o q g 7 l z N 5 k 7 x 5 3 O 6 Q D E 0 d X F V n d W t i x D B F g T J 5 W 2 h T x q h 3 p 3 C J E g E 7 m Z 9 l q Y I R N n Y 9 W B 2 j y r n L m h D v P f Y z 3 H Y l 4 Z Q y c s y 2 + 7 x S j Q y 1 s U 6 a X K H P q v i / Q g I O L x n B c c T w g q 0 4 n k c M y F R D p s 0 X 4 a M x p k B + S k j 7 2 v W d E o U K 0 w 2 Q K Q J 5 v x B P U E s D B B Q A A g A I A H N Q L 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z U C 9 S 2 X v I Q f I A A A C v A Q A A E w A c A E Z v c m 1 1 b G F z L 1 N l Y 3 R p b 2 4 x L m 0 g o h g A K K A U A A A A A A A A A A A A A A A A A A A A A A A A A A A A h Z B B a s N A D E X 3 B t 9 B T D c 2 m I A X X Q U v i i k N F E K K D V 0 Y L y a O 0 o S M Z 4 J G A y n G t + k Z e o F c r G O m t N B i o o 1 A + r z / J Y s d H 4 2 G K v R 8 G U d x Z A + S c A f P U r P R C A U o 5 D g C X y 8 O l Z o m j 5 c O 1 a J 0 R K j 5 1 d B p a 8 w p S Y d m L X s s R C 2 3 k / B e t G N T G s 1 e 1 G Y B c S e e 8 P q h d 0 i M B P X 7 W X i c 1 y t c 1 C S 1 3 R v q S 6 N c r / 0 O b R I s s 2 E Q 1 V k q x l x k w H 4 D j B c e x / Q H u 7 p + H j z x D S 2 7 P S O s U H q T X / q G T G 8 Y w 9 g m / 3 N k 0 H x r H p S q O q k k 2 Y L J Y Z v O Z c 9 v h J 9 N N d 0 T / v v n n D g 6 6 l m z 5 R d Q S w E C L Q A U A A I A C A B z U C 9 S 5 i E 6 5 a g A A A D 4 A A A A E g A A A A A A A A A A A A A A A A A A A A A A Q 2 9 u Z m l n L 1 B h Y 2 t h Z 2 U u e G 1 s U E s B A i 0 A F A A C A A g A c 1 A v U g / K 6 a u k A A A A 6 Q A A A B M A A A A A A A A A A A A A A A A A 9 A A A A F t D b 2 5 0 Z W 5 0 X 1 R 5 c G V z X S 5 4 b W x Q S w E C L Q A U A A I A C A B z U C 9 S 2 X v I Q f I A A A C v A Q A A E w A A A A A A A A A A A A A A A A D l A Q A A R m 9 y b X V s Y X M v U 2 V j d G l v b j E u b V B L B Q Y A A A A A A w A D A M I A A A A k 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1 C A A A A A A A A N M 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S 2 F u d G 9 u Z 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S I g L z 4 8 R W 5 0 c n k g V H l w Z T 0 i T m F t Z V V w Z G F 0 Z W R B Z n R l c k Z p b G w i I F Z h b H V l P S J s M C I g L z 4 8 R W 5 0 c n k g V H l w Z T 0 i U m V z d W x 0 V H l w Z S I g V m F s d W U 9 I n N U Y W J s Z S I g L z 4 8 R W 5 0 c n k g V H l w Z T 0 i Q n V m Z m V y T m V 4 d F J l Z n J l c 2 g i I F Z h b H V l P S J s M S I g L z 4 8 R W 5 0 c n k g V H l w Z T 0 i R m l s b G V k Q 2 9 t c G x l d G V S Z X N 1 b H R U b 1 d v c m t z a G V l d C I g V m F s d W U 9 I m w w I i A v P j x F b n R y e S B U e X B l P S J B Z G R l Z F R v R G F 0 Y U 1 v Z G V s I i B W Y W x 1 Z T 0 i b D E i I C 8 + P E V u d H J 5 I F R 5 c G U 9 I k Z p b G x D b 3 V u d C I g V m F s d W U 9 I m w y N i I g L z 4 8 R W 5 0 c n k g V H l w Z T 0 i R m l s b E V y c m 9 y Q 2 9 k Z S I g V m F s d W U 9 I n N V b m t u b 3 d u I i A v P j x F b n R y e S B U e X B l P S J G a W x s R X J y b 3 J D b 3 V u d C I g V m F s d W U 9 I m w w I i A v P j x F b n R y e S B U e X B l P S J G a W x s T G F z d F V w Z G F 0 Z W Q i I F Z h b H V l P S J k M j A y M S 0 w M S 0 x N V Q w O T o w M z o w N i 4 z N T U z N T E 1 W i I g L z 4 8 R W 5 0 c n k g V H l w Z T 0 i R m l s b E N v b H V t b l R 5 c G V z I i B W Y W x 1 Z T 0 i c 0 J n P T 0 i I C 8 + P E V u d H J 5 I F R 5 c G U 9 I k Z p b G x D b 2 x 1 b W 5 O Y W 1 l c y I g V m F s d W U 9 I n N b J n F 1 b 3 Q 7 S 2 F u d G 9 u 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S 2 F u d G 9 u Z S 9 H Z c O k b m R l c n R l c i B U e X A x L n t L Y W 5 0 b 2 4 s M H 0 m c X V v d D t d L C Z x d W 9 0 O 0 N v b H V t b k N v d W 5 0 J n F 1 b 3 Q 7 O j E s J n F 1 b 3 Q 7 S 2 V 5 Q 2 9 s d W 1 u T m F t Z X M m c X V v d D s 6 W 1 0 s J n F 1 b 3 Q 7 Q 2 9 s d W 1 u S W R l b n R p d G l l c y Z x d W 9 0 O z p b J n F 1 b 3 Q 7 U 2 V j d G l v b j E v S 2 F u d G 9 u Z S 9 H Z c O k b m R l c n R l c i B U e X A x L n t L Y W 5 0 b 2 4 s M H 0 m c X V v d D t d L C Z x d W 9 0 O 1 J l b G F 0 a W 9 u c 2 h p c E l u Z m 8 m c X V v d D s 6 W 1 1 9 I i A v P j w v U 3 R h Y m x l R W 5 0 c m l l c z 4 8 L 0 l 0 Z W 0 + P E l 0 Z W 0 + P E l 0 Z W 1 M b 2 N h d G l v b j 4 8 S X R l b V R 5 c G U + R m 9 y b X V s Y T w v S X R l b V R 5 c G U + P E l 0 Z W 1 Q Y X R o P l N l Y 3 R p b 2 4 x L 0 t h b n R v b m U v U X V l b G x l P C 9 J d G V t U G F 0 a D 4 8 L 0 l 0 Z W 1 M b 2 N h d G l v b j 4 8 U 3 R h Y m x l R W 5 0 c m l l c y A v P j w v S X R l b T 4 8 S X R l b T 4 8 S X R l b U x v Y 2 F 0 a W 9 u P j x J d G V t V H l w Z T 5 G b 3 J t d W x h P C 9 J d G V t V H l w Z T 4 8 S X R l b V B h d G g + U 2 V j d G l v b j E v S 2 F u d G 9 u Z S 9 H Z S V D M y V B N G 5 k Z X J 0 Z X I l M j B U e X A 8 L 0 l 0 Z W 1 Q Y X R o P j w v S X R l b U x v Y 2 F 0 a W 9 u P j x T d G F i b G V F b n R y a W V z I C 8 + P C 9 J d G V t P j x J d G V t P j x J d G V t T G 9 j Y X R p b 2 4 + P E l 0 Z W 1 U e X B l P k Z v c m 1 1 b G E 8 L 0 l 0 Z W 1 U e X B l P j x J d G V t U G F 0 a D 5 T Z W N 0 a W 9 u M S 9 L Y W 5 0 b 2 5 l L 0 g l Q z M l Q j Z o Z X I l M j B n Z X N 0 d W Z 0 Z S U y M E h l Y W R l c j w v S X R l b V B h d G g + P C 9 J d G V t T G 9 j Y X R p b 2 4 + P F N 0 Y W J s Z U V u d H J p Z X M g L z 4 8 L 0 l 0 Z W 0 + P E l 0 Z W 0 + P E l 0 Z W 1 M b 2 N h d G l v b j 4 8 S X R l b V R 5 c G U + R m 9 y b X V s Y T w v S X R l b V R 5 c G U + P E l 0 Z W 1 Q Y X R o P l N l Y 3 R p b 2 4 x L 0 t h b n R v b m U v R 2 U l Q z M l Q T R u Z G V y d G V y J T I w V H l w M T w v S X R l b V B h d G g + P C 9 J d G V t T G 9 j Y X R p b 2 4 + P F N 0 Y W J s Z U V u d H J p Z X M g L z 4 8 L 0 l 0 Z W 0 + P C 9 J d G V t c z 4 8 L 0 x v Y 2 F s U G F j a 2 F n Z U 1 l d G F k Y X R h R m l s Z T 4 W A A A A U E s F B g A A A A A A A A A A A A A A A A A A A A A A A N o A A A A B A A A A 0 I y d 3 w E V 0 R G M e g D A T 8 K X 6 w E A A A A h R D p 5 8 G J E R K G J q 5 h Q Z u I w A A A A A A I A A A A A A A N m A A D A A A A A E A A A A L k 7 H s i r T A J x C S 0 m k B V a n Z Y A A A A A B I A A A K A A A A A Q A A A A S e 3 U Q 4 s O z B A P d B t 0 P y 8 x s l A A A A B + u X O Q 6 i 4 z u x O F I E m U I d 1 n T m M r D 4 o z H p 3 K w z S 2 q 8 t B O 1 / c Q j w J e P E T i e 6 G 9 r v e h V V l B O l l B U V N P E p r F H 9 5 d 9 h T 3 e o W W c N W O Y 0 p i 6 + C A 4 V Y H x Q A A A C 7 9 L 8 m W g b W q Q 5 H U Q 2 8 l Z c 4 G c t f F Q = = < / D a t a M a s h u p > 
</file>

<file path=customXml/item2.xml><?xml version="1.0" encoding="utf-8"?>
<f:fields xmlns:f="http://schemas.fabasoft.com/folio/2007/fields">
  <f:record ref="">
    <f:field ref="objname" par="" edit="true" text="Raster Kennzahlen IAS V2"/>
    <f:field ref="objsubject" par="" edit="true" text=""/>
    <f:field ref="objcreatedby" par="" text="Steiger, Sebastian, sem-Stsb"/>
    <f:field ref="objcreatedat" par="" text="27.03.2019 11:42:10"/>
    <f:field ref="objchangedby" par="" text="Steiger, Sebastian, sem-Stsb"/>
    <f:field ref="objmodifiedat" par="" text="24.05.2019 15:22:59"/>
    <f:field ref="doc_FSCFOLIO_1_1001_FieldDocumentNumber" par="" text=""/>
    <f:field ref="doc_FSCFOLIO_1_1001_FieldSubject" par="" edit="true" text=""/>
    <f:field ref="FSCFOLIO_1_1001_FieldCurrentUser" par="" text="Tsewang Tsering"/>
    <f:field ref="CCAPRECONFIG_15_1001_Objektname" par="" edit="true" text="Raster Kennzahlen IAS V2"/>
    <f:field ref="CHPRECONFIG_1_1001_Objektname" par="" edit="true" text="Raster Kennzahlen IAS V2"/>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HPRECONFIG_1_1001_Anrede" text="Anrede"/>
    <f:field ref="CHPRECONFIG_1_1001_EMailAdresse" text="E-Mail Adresse"/>
    <f:field ref="CHPRECONFIG_1_1001_Nachname" text="Nachname"/>
    <f:field ref="CHPRECONFIG_1_1001_Ort" text="Ort"/>
    <f:field ref="CHPRECONFIG_1_1001_Postleitzahl" text="Postleitzahl"/>
    <f:field ref="CHPRECONFIG_1_1001_Strasse" text="Strasse"/>
    <f:field ref="CHPRECONFIG_1_1001_Titel" text="Titel"/>
    <f:field ref="CHPRECONFIG_1_1001_Vorname" text="Vor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721797EF-4BCC-4436-8531-014FB3449107}">
  <ds:schemaRefs>
    <ds:schemaRef ds:uri="http://schemas.microsoft.com/DataMashup"/>
  </ds:schemaRefs>
</ds:datastoreItem>
</file>

<file path=customXml/itemProps2.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18</vt:i4>
      </vt:variant>
    </vt:vector>
  </HeadingPairs>
  <TitlesOfParts>
    <vt:vector size="32" baseType="lpstr">
      <vt:lpstr>Table des matières</vt:lpstr>
      <vt:lpstr>Indicateurs PIC</vt:lpstr>
      <vt:lpstr>Sommaire Indicateurs AIS</vt:lpstr>
      <vt:lpstr>Ind AIS N°2</vt:lpstr>
      <vt:lpstr>Ind AIS N°3</vt:lpstr>
      <vt:lpstr>Ind AIS N°4</vt:lpstr>
      <vt:lpstr>Ind AIS N°5</vt:lpstr>
      <vt:lpstr>Ind AIS N°6</vt:lpstr>
      <vt:lpstr>Ind AIS N°7</vt:lpstr>
      <vt:lpstr>Ind AIS N°8</vt:lpstr>
      <vt:lpstr>Ind AIS N°9</vt:lpstr>
      <vt:lpstr>Ind AIS N°11a</vt:lpstr>
      <vt:lpstr>Ind AIS N°11b</vt:lpstr>
      <vt:lpstr>Ind AIS N°14</vt:lpstr>
      <vt:lpstr>bestand_alle</vt:lpstr>
      <vt:lpstr>bestand_ias</vt:lpstr>
      <vt:lpstr>'Ind AIS N°1'!Print_Area</vt:lpstr>
      <vt:lpstr>'Ind AIS N°11a'!Print_Area</vt:lpstr>
      <vt:lpstr>'Ind AIS N°11b'!Print_Area</vt:lpstr>
      <vt:lpstr>'Ind AIS N°2'!Print_Area</vt:lpstr>
      <vt:lpstr>'Ind AIS N°3'!Print_Area</vt:lpstr>
      <vt:lpstr>'Ind AIS N°4'!Print_Area</vt:lpstr>
      <vt:lpstr>'Ind AIS N°5'!Print_Area</vt:lpstr>
      <vt:lpstr>'Ind AIS N°6'!Print_Area</vt:lpstr>
      <vt:lpstr>'Ind AIS N°7'!Print_Area</vt:lpstr>
      <vt:lpstr>'Ind AIS N°8'!Print_Area</vt:lpstr>
      <vt:lpstr>'Ind AIS N°9'!Print_Area</vt:lpstr>
      <vt:lpstr>'Indicateurs PIC'!Print_Area</vt:lpstr>
      <vt:lpstr>'Sommaire Indicateurs AIS'!Print_Area</vt:lpstr>
      <vt:lpstr>'Table des matières'!Print_Area</vt:lpstr>
      <vt:lpstr>'Univers AIS décisions 1.5.19'!Print_Area</vt:lpstr>
      <vt:lpstr>'Univers AIS Effectif'!Print_Area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Raster Kennzahlen IAS</dc:title>
  <dc:creator>FBFIS</dc:creator>
  <cp:lastModifiedBy>Alexandra Perréard</cp:lastModifiedBy>
  <cp:lastPrinted>2021-03-04T09:42:05Z</cp:lastPrinted>
  <dcterms:created xsi:type="dcterms:W3CDTF">2019-03-08T14:44:51Z</dcterms:created>
  <dcterms:modified xsi:type="dcterms:W3CDTF">2023-05-17T08:51:00Z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JPDCFG@15.1700:Recipient">
    <vt:lpwstr/>
  </property>
  <property fmtid="{D5CDD505-2E9C-101B-9397-08002B2CF9AE}" pid="3" name="FSC#EJPDCFG@15.1700:RecipientSalutation">
    <vt:lpwstr/>
  </property>
  <property fmtid="{D5CDD505-2E9C-101B-9397-08002B2CF9AE}" pid="4" name="FSC#EJPDCFG@15.1700:RecipientTitle">
    <vt:lpwstr/>
  </property>
  <property fmtid="{D5CDD505-2E9C-101B-9397-08002B2CF9AE}" pid="5" name="FSC#EJPDCFG@15.1700:RecipientFirstname">
    <vt:lpwstr/>
  </property>
  <property fmtid="{D5CDD505-2E9C-101B-9397-08002B2CF9AE}" pid="6" name="FSC#EJPDCFG@15.1700:RecipientSurname">
    <vt:lpwstr/>
  </property>
  <property fmtid="{D5CDD505-2E9C-101B-9397-08002B2CF9AE}" pid="7" name="FSC#EJPDCFG@15.1700:RecipientStreet">
    <vt:lpwstr/>
  </property>
  <property fmtid="{D5CDD505-2E9C-101B-9397-08002B2CF9AE}" pid="8" name="FSC#EJPDCFG@15.1700:RecipientPOBox">
    <vt:lpwstr/>
  </property>
  <property fmtid="{D5CDD505-2E9C-101B-9397-08002B2CF9AE}" pid="9" name="FSC#EJPDCFG@15.1700:RecipientZIPCode">
    <vt:lpwstr/>
  </property>
  <property fmtid="{D5CDD505-2E9C-101B-9397-08002B2CF9AE}" pid="10" name="FSC#EJPDCFG@15.1700:RecipientCity">
    <vt:lpwstr/>
  </property>
  <property fmtid="{D5CDD505-2E9C-101B-9397-08002B2CF9AE}" pid="11" name="FSC#EJPDCFG@15.1700:Recipientcountry">
    <vt:lpwstr/>
  </property>
  <property fmtid="{D5CDD505-2E9C-101B-9397-08002B2CF9AE}" pid="12" name="FSC#EJPDCFG@15.1700:RecipientOrgname">
    <vt:lpwstr/>
  </property>
  <property fmtid="{D5CDD505-2E9C-101B-9397-08002B2CF9AE}" pid="13" name="FSC#EJPDCFG@15.1700:RecipientEMail">
    <vt:lpwstr/>
  </property>
  <property fmtid="{D5CDD505-2E9C-101B-9397-08002B2CF9AE}" pid="14" name="FSC#EJPDCFG@15.1700:RecipientContactSalutation">
    <vt:lpwstr/>
  </property>
  <property fmtid="{D5CDD505-2E9C-101B-9397-08002B2CF9AE}" pid="15" name="FSC#EJPDCFG@15.1700:RecipientContactFirstname">
    <vt:lpwstr/>
  </property>
  <property fmtid="{D5CDD505-2E9C-101B-9397-08002B2CF9AE}" pid="16" name="FSC#EJPDCFG@15.1700:RecipientContactSurname">
    <vt:lpwstr/>
  </property>
  <property fmtid="{D5CDD505-2E9C-101B-9397-08002B2CF9AE}" pid="17" name="FSC#EJPDCFG@15.1700:RecipientDate">
    <vt:lpwstr/>
  </property>
  <property fmtid="{D5CDD505-2E9C-101B-9397-08002B2CF9AE}" pid="18" name="FSC#EJPDCFG@15.1700:SubfileTitle">
    <vt:lpwstr>Kennzahlen IAS</vt:lpwstr>
  </property>
  <property fmtid="{D5CDD505-2E9C-101B-9397-08002B2CF9AE}" pid="19" name="FSC#EJPDCFG@15.1700:SubfileSubject">
    <vt:lpwstr>Kennzahlen IAS</vt:lpwstr>
  </property>
  <property fmtid="{D5CDD505-2E9C-101B-9397-08002B2CF9AE}" pid="20" name="FSC#EJPDCFG@15.1700:SubfileDossierRef">
    <vt:lpwstr>545-00/2018/00001</vt:lpwstr>
  </property>
  <property fmtid="{D5CDD505-2E9C-101B-9397-08002B2CF9AE}" pid="21" name="FSC#EJPDCFG@15.1700:SubfileResponsibleFirstname">
    <vt:lpwstr>Sebastian</vt:lpwstr>
  </property>
  <property fmtid="{D5CDD505-2E9C-101B-9397-08002B2CF9AE}" pid="22" name="FSC#EJPDCFG@15.1700:SubfileResponsibleSurname">
    <vt:lpwstr>Steiger</vt:lpwstr>
  </property>
  <property fmtid="{D5CDD505-2E9C-101B-9397-08002B2CF9AE}" pid="23" name="FSC#EJPDCFG@15.1700:SubfileResponsibleProfession">
    <vt:lpwstr/>
  </property>
  <property fmtid="{D5CDD505-2E9C-101B-9397-08002B2CF9AE}" pid="24" name="FSC#EJPDCFG@15.1700:SubfileResponsibleInitials">
    <vt:lpwstr>sem-Stsb</vt:lpwstr>
  </property>
  <property fmtid="{D5CDD505-2E9C-101B-9397-08002B2CF9AE}" pid="25" name="FSC#EJPDCFG@15.1700:AssignmentCommentHistory">
    <vt:lpwstr/>
  </property>
  <property fmtid="{D5CDD505-2E9C-101B-9397-08002B2CF9AE}" pid="26" name="FSC#EJPDCFG@15.1700:AssignmentDefaultComment">
    <vt:lpwstr/>
  </property>
  <property fmtid="{D5CDD505-2E9C-101B-9397-08002B2CF9AE}" pid="27" name="FSC#EJPDCFG@15.1700:AssignmentRemarks">
    <vt:lpwstr/>
  </property>
  <property fmtid="{D5CDD505-2E9C-101B-9397-08002B2CF9AE}" pid="28" name="FSC#EJPDCFG@15.1700:AssignmentExternalDate">
    <vt:lpwstr/>
  </property>
  <property fmtid="{D5CDD505-2E9C-101B-9397-08002B2CF9AE}" pid="29" name="FSC#EJPDCFG@15.1700:AssignmentProcessingDeadline">
    <vt:lpwstr/>
  </property>
  <property fmtid="{D5CDD505-2E9C-101B-9397-08002B2CF9AE}" pid="30" name="FSC#EJPDCFG@15.1700:AssignmentPlacingPosition">
    <vt:lpwstr/>
  </property>
  <property fmtid="{D5CDD505-2E9C-101B-9397-08002B2CF9AE}" pid="31" name="FSC#EJPDCFG@15.1700:AssignmentResponsible">
    <vt:lpwstr/>
  </property>
  <property fmtid="{D5CDD505-2E9C-101B-9397-08002B2CF9AE}" pid="32" name="FSC#EJPDCFG@15.1700:AssignmentUsers">
    <vt:lpwstr/>
  </property>
  <property fmtid="{D5CDD505-2E9C-101B-9397-08002B2CF9AE}" pid="33" name="FSC#EJPDCFG@15.1700:AssignmentUsersDone">
    <vt:lpwstr/>
  </property>
  <property fmtid="{D5CDD505-2E9C-101B-9397-08002B2CF9AE}" pid="34" name="FSC#EJPDCFG@15.1700:SubfileClassification">
    <vt:lpwstr>Nicht klassifiziert</vt:lpwstr>
  </property>
  <property fmtid="{D5CDD505-2E9C-101B-9397-08002B2CF9AE}" pid="35" name="FSC#EJPDCFG@15.1700:Department">
    <vt:lpwstr>Direktion</vt:lpwstr>
  </property>
  <property fmtid="{D5CDD505-2E9C-101B-9397-08002B2CF9AE}" pid="36" name="FSC#EJPDCFG@15.1700:DepartmentShort">
    <vt:lpwstr>DIR</vt:lpwstr>
  </property>
  <property fmtid="{D5CDD505-2E9C-101B-9397-08002B2CF9AE}" pid="37" name="FSC#EJPDCFG@15.1700:HierarchyFirstLevel">
    <vt:lpwstr>Direktion</vt:lpwstr>
  </property>
  <property fmtid="{D5CDD505-2E9C-101B-9397-08002B2CF9AE}" pid="38" name="FSC#EJPDCFG@15.1700:HierarchyFirstLevelShort">
    <vt:lpwstr>DIR</vt:lpwstr>
  </property>
  <property fmtid="{D5CDD505-2E9C-101B-9397-08002B2CF9AE}" pid="39" name="FSC#EJPDCFG@15.1700:HierarchySecondLevel">
    <vt:lpwstr>Direktionsbereich Zuwanderung und Integration</vt:lpwstr>
  </property>
  <property fmtid="{D5CDD505-2E9C-101B-9397-08002B2CF9AE}" pid="40" name="FSC#EJPDCFG@15.1700:HierarchyThirdLevel">
    <vt:lpwstr>Abteilung Integration</vt:lpwstr>
  </property>
  <property fmtid="{D5CDD505-2E9C-101B-9397-08002B2CF9AE}" pid="41" name="FSC#EJPDCFG@15.1700:HierarchyFourthLevel">
    <vt:lpwstr>Sektion Integrationsförderung</vt:lpwstr>
  </property>
  <property fmtid="{D5CDD505-2E9C-101B-9397-08002B2CF9AE}" pid="42" name="FSC#EJPDCFG@15.1700:HierarchyFifthLevel">
    <vt:lpwstr/>
  </property>
  <property fmtid="{D5CDD505-2E9C-101B-9397-08002B2CF9AE}" pid="43" name="FSC#EJPDCFG@15.1700:ObjaddressContentObject">
    <vt:lpwstr>COO.2180.101.5.519576</vt:lpwstr>
  </property>
  <property fmtid="{D5CDD505-2E9C-101B-9397-08002B2CF9AE}" pid="44" name="FSC#EJPDCFG@15.1700:SubfileResponsibleSalutation">
    <vt:lpwstr/>
  </property>
  <property fmtid="{D5CDD505-2E9C-101B-9397-08002B2CF9AE}" pid="45" name="FSC#EJPDCFG@15.1700:SubfileResponsibleTelOffice">
    <vt:lpwstr>+41 58 467 64 72</vt:lpwstr>
  </property>
  <property fmtid="{D5CDD505-2E9C-101B-9397-08002B2CF9AE}" pid="46" name="FSC#EJPDCFG@15.1700:SubfileResponsibleTelFax">
    <vt:lpwstr>+41 58 462 78 32</vt:lpwstr>
  </property>
  <property fmtid="{D5CDD505-2E9C-101B-9397-08002B2CF9AE}" pid="47" name="FSC#EJPDCFG@15.1700:SubfileResponsibleEmail">
    <vt:lpwstr>sebastian.steiger@sem.admin.ch</vt:lpwstr>
  </property>
  <property fmtid="{D5CDD505-2E9C-101B-9397-08002B2CF9AE}" pid="48" name="FSC#EJPDCFG@15.1700:SubfileResponsibleUrl">
    <vt:lpwstr>http://www.sem.admin.ch</vt:lpwstr>
  </property>
  <property fmtid="{D5CDD505-2E9C-101B-9397-08002B2CF9AE}" pid="49" name="FSC#EJPDCFG@15.1700:SubfileResponsibleAddress">
    <vt:lpwstr>Quellenweg 9, 3003 Bern-Wabern</vt:lpwstr>
  </property>
  <property fmtid="{D5CDD505-2E9C-101B-9397-08002B2CF9AE}" pid="50" name="FSC#EJPDCFG@15.1700:FileRefOU">
    <vt:lpwstr>Abteilung Integration</vt:lpwstr>
  </property>
  <property fmtid="{D5CDD505-2E9C-101B-9397-08002B2CF9AE}" pid="51" name="FSC#EJPDCFG@15.1700:OU">
    <vt:lpwstr>Abteilung Integration</vt:lpwstr>
  </property>
  <property fmtid="{D5CDD505-2E9C-101B-9397-08002B2CF9AE}" pid="52" name="FSC#EJPDCFG@15.1700:Department2">
    <vt:lpwstr>Sektion Integrationsförderung</vt:lpwstr>
  </property>
  <property fmtid="{D5CDD505-2E9C-101B-9397-08002B2CF9AE}" pid="53" name="FSC#EJPDIMPORT@100.2000:Recipient">
    <vt:lpwstr/>
  </property>
  <property fmtid="{D5CDD505-2E9C-101B-9397-08002B2CF9AE}" pid="54" name="FSC#EJPDIMPORT@100.2000:PersonnelBirthday">
    <vt:lpwstr/>
  </property>
  <property fmtid="{D5CDD505-2E9C-101B-9397-08002B2CF9AE}" pid="55" name="FSC#EJPDIMPORT@100.2000:PersonnelProfession">
    <vt:lpwstr/>
  </property>
  <property fmtid="{D5CDD505-2E9C-101B-9397-08002B2CF9AE}" pid="56" name="FSC#EJPDIMPORT@100.2000:PersonnelOrgAddress">
    <vt:lpwstr/>
  </property>
  <property fmtid="{D5CDD505-2E9C-101B-9397-08002B2CF9AE}" pid="57" name="FSC#EJPDIMPORT@100.2000:PersonnelOrgname">
    <vt:lpwstr/>
  </property>
  <property fmtid="{D5CDD505-2E9C-101B-9397-08002B2CF9AE}" pid="58" name="FSC#EJPDIMPORT@100.2000:PersonnelFirstname">
    <vt:lpwstr/>
  </property>
  <property fmtid="{D5CDD505-2E9C-101B-9397-08002B2CF9AE}" pid="59" name="FSC#EJPDIMPORT@100.2000:PersonnelSurname">
    <vt:lpwstr/>
  </property>
  <property fmtid="{D5CDD505-2E9C-101B-9397-08002B2CF9AE}" pid="60" name="FSC#EJPDIMPORT@100.2000:PersonnelAddress">
    <vt:lpwstr/>
  </property>
  <property fmtid="{D5CDD505-2E9C-101B-9397-08002B2CF9AE}" pid="61" name="FSC#COOELAK@1.1001:Subject">
    <vt:lpwstr/>
  </property>
  <property fmtid="{D5CDD505-2E9C-101B-9397-08002B2CF9AE}" pid="62" name="FSC#COOELAK@1.1001:FileReference">
    <vt:lpwstr>545-00/2018/05813</vt:lpwstr>
  </property>
  <property fmtid="{D5CDD505-2E9C-101B-9397-08002B2CF9AE}" pid="63" name="FSC#COOELAK@1.1001:FileRefYear">
    <vt:lpwstr>2018</vt:lpwstr>
  </property>
  <property fmtid="{D5CDD505-2E9C-101B-9397-08002B2CF9AE}" pid="64" name="FSC#COOELAK@1.1001:FileRefOrdinal">
    <vt:lpwstr>5813</vt:lpwstr>
  </property>
  <property fmtid="{D5CDD505-2E9C-101B-9397-08002B2CF9AE}" pid="65" name="FSC#COOELAK@1.1001:FileRefOU">
    <vt:lpwstr>AI</vt:lpwstr>
  </property>
  <property fmtid="{D5CDD505-2E9C-101B-9397-08002B2CF9AE}" pid="66" name="FSC#COOELAK@1.1001:Organization">
    <vt:lpwstr/>
  </property>
  <property fmtid="{D5CDD505-2E9C-101B-9397-08002B2CF9AE}" pid="67" name="FSC#COOELAK@1.1001:Owner">
    <vt:lpwstr>Steiger Sebastian</vt:lpwstr>
  </property>
  <property fmtid="{D5CDD505-2E9C-101B-9397-08002B2CF9AE}" pid="68" name="FSC#COOELAK@1.1001:OwnerExtension">
    <vt:lpwstr>+41 58 467 64 72</vt:lpwstr>
  </property>
  <property fmtid="{D5CDD505-2E9C-101B-9397-08002B2CF9AE}" pid="69" name="FSC#COOELAK@1.1001:OwnerFaxExtension">
    <vt:lpwstr>+41 58 462 78 32</vt:lpwstr>
  </property>
  <property fmtid="{D5CDD505-2E9C-101B-9397-08002B2CF9AE}" pid="70" name="FSC#COOELAK@1.1001:DispatchedBy">
    <vt:lpwstr/>
  </property>
  <property fmtid="{D5CDD505-2E9C-101B-9397-08002B2CF9AE}" pid="71" name="FSC#COOELAK@1.1001:DispatchedAt">
    <vt:lpwstr/>
  </property>
  <property fmtid="{D5CDD505-2E9C-101B-9397-08002B2CF9AE}" pid="72" name="FSC#COOELAK@1.1001:ApprovedBy">
    <vt:lpwstr/>
  </property>
  <property fmtid="{D5CDD505-2E9C-101B-9397-08002B2CF9AE}" pid="73" name="FSC#COOELAK@1.1001:ApprovedAt">
    <vt:lpwstr/>
  </property>
  <property fmtid="{D5CDD505-2E9C-101B-9397-08002B2CF9AE}" pid="74" name="FSC#COOELAK@1.1001:Department">
    <vt:lpwstr>Sektion Integrationsförderung (SIF)</vt:lpwstr>
  </property>
  <property fmtid="{D5CDD505-2E9C-101B-9397-08002B2CF9AE}" pid="75" name="FSC#COOELAK@1.1001:CreatedAt">
    <vt:lpwstr>27.03.2019</vt:lpwstr>
  </property>
  <property fmtid="{D5CDD505-2E9C-101B-9397-08002B2CF9AE}" pid="76" name="FSC#COOELAK@1.1001:OU">
    <vt:lpwstr>Abteilung Integration (AI)</vt:lpwstr>
  </property>
  <property fmtid="{D5CDD505-2E9C-101B-9397-08002B2CF9AE}" pid="77" name="FSC#COOELAK@1.1001:Priority">
    <vt:lpwstr> ()</vt:lpwstr>
  </property>
  <property fmtid="{D5CDD505-2E9C-101B-9397-08002B2CF9AE}" pid="78" name="FSC#COOELAK@1.1001:ObjBarCode">
    <vt:lpwstr>*COO.2180.101.5.519576*</vt:lpwstr>
  </property>
  <property fmtid="{D5CDD505-2E9C-101B-9397-08002B2CF9AE}" pid="79" name="FSC#COOELAK@1.1001:RefBarCode">
    <vt:lpwstr>*COO.2180.101.8.2500992*</vt:lpwstr>
  </property>
  <property fmtid="{D5CDD505-2E9C-101B-9397-08002B2CF9AE}" pid="80" name="FSC#COOELAK@1.1001:FileRefBarCode">
    <vt:lpwstr>*545-00/2018/05813*</vt:lpwstr>
  </property>
  <property fmtid="{D5CDD505-2E9C-101B-9397-08002B2CF9AE}" pid="81" name="FSC#COOELAK@1.1001:ExternalRef">
    <vt:lpwstr/>
  </property>
  <property fmtid="{D5CDD505-2E9C-101B-9397-08002B2CF9AE}" pid="82" name="FSC#COOELAK@1.1001:IncomingNumber">
    <vt:lpwstr/>
  </property>
  <property fmtid="{D5CDD505-2E9C-101B-9397-08002B2CF9AE}" pid="83" name="FSC#COOELAK@1.1001:IncomingSubject">
    <vt:lpwstr/>
  </property>
  <property fmtid="{D5CDD505-2E9C-101B-9397-08002B2CF9AE}" pid="84" name="FSC#COOELAK@1.1001:ProcessResponsible">
    <vt:lpwstr/>
  </property>
  <property fmtid="{D5CDD505-2E9C-101B-9397-08002B2CF9AE}" pid="85" name="FSC#COOELAK@1.1001:ProcessResponsiblePhone">
    <vt:lpwstr/>
  </property>
  <property fmtid="{D5CDD505-2E9C-101B-9397-08002B2CF9AE}" pid="86" name="FSC#COOELAK@1.1001:ProcessResponsibleMail">
    <vt:lpwstr/>
  </property>
  <property fmtid="{D5CDD505-2E9C-101B-9397-08002B2CF9AE}" pid="87" name="FSC#COOELAK@1.1001:ProcessResponsibleFax">
    <vt:lpwstr/>
  </property>
  <property fmtid="{D5CDD505-2E9C-101B-9397-08002B2CF9AE}" pid="88" name="FSC#COOELAK@1.1001:ApproverFirstName">
    <vt:lpwstr/>
  </property>
  <property fmtid="{D5CDD505-2E9C-101B-9397-08002B2CF9AE}" pid="89" name="FSC#COOELAK@1.1001:ApproverSurName">
    <vt:lpwstr/>
  </property>
  <property fmtid="{D5CDD505-2E9C-101B-9397-08002B2CF9AE}" pid="90" name="FSC#COOELAK@1.1001:ApproverTitle">
    <vt:lpwstr/>
  </property>
  <property fmtid="{D5CDD505-2E9C-101B-9397-08002B2CF9AE}" pid="91" name="FSC#COOELAK@1.1001:ExternalDate">
    <vt:lpwstr/>
  </property>
  <property fmtid="{D5CDD505-2E9C-101B-9397-08002B2CF9AE}" pid="92" name="FSC#COOELAK@1.1001:SettlementApprovedAt">
    <vt:lpwstr/>
  </property>
  <property fmtid="{D5CDD505-2E9C-101B-9397-08002B2CF9AE}" pid="93" name="FSC#COOELAK@1.1001:BaseNumber">
    <vt:lpwstr>545-00</vt:lpwstr>
  </property>
  <property fmtid="{D5CDD505-2E9C-101B-9397-08002B2CF9AE}" pid="94" name="FSC#COOELAK@1.1001:CurrentUserRolePos">
    <vt:lpwstr>Sachbearbeiter/in</vt:lpwstr>
  </property>
  <property fmtid="{D5CDD505-2E9C-101B-9397-08002B2CF9AE}" pid="95" name="FSC#COOELAK@1.1001:CurrentUserEmail">
    <vt:lpwstr>tsewang.tsering@sem.admin.ch</vt:lpwstr>
  </property>
  <property fmtid="{D5CDD505-2E9C-101B-9397-08002B2CF9AE}" pid="96" name="FSC#ELAKGOV@1.1001:PersonalSubjGender">
    <vt:lpwstr/>
  </property>
  <property fmtid="{D5CDD505-2E9C-101B-9397-08002B2CF9AE}" pid="97" name="FSC#ELAKGOV@1.1001:PersonalSubjFirstName">
    <vt:lpwstr/>
  </property>
  <property fmtid="{D5CDD505-2E9C-101B-9397-08002B2CF9AE}" pid="98" name="FSC#ELAKGOV@1.1001:PersonalSubjSurName">
    <vt:lpwstr/>
  </property>
  <property fmtid="{D5CDD505-2E9C-101B-9397-08002B2CF9AE}" pid="99" name="FSC#ELAKGOV@1.1001:PersonalSubjSalutation">
    <vt:lpwstr/>
  </property>
  <property fmtid="{D5CDD505-2E9C-101B-9397-08002B2CF9AE}" pid="100" name="FSC#ELAKGOV@1.1001:PersonalSubjAddress">
    <vt:lpwstr/>
  </property>
  <property fmtid="{D5CDD505-2E9C-101B-9397-08002B2CF9AE}" pid="101" name="FSC#ATSTATECFG@1.1001:Office">
    <vt:lpwstr/>
  </property>
  <property fmtid="{D5CDD505-2E9C-101B-9397-08002B2CF9AE}" pid="102" name="FSC#ATSTATECFG@1.1001:Agent">
    <vt:lpwstr>Sebastian Steiger</vt:lpwstr>
  </property>
  <property fmtid="{D5CDD505-2E9C-101B-9397-08002B2CF9AE}" pid="103" name="FSC#ATSTATECFG@1.1001:AgentPhone">
    <vt:lpwstr>+41 58 467 64 72</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545-00/2018/00001</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OOSYSTEM@1.1:Container">
    <vt:lpwstr>COO.2180.101.5.519576</vt:lpwstr>
  </property>
  <property fmtid="{D5CDD505-2E9C-101B-9397-08002B2CF9AE}" pid="125" name="FSC#FSCFOLIO@1.1001:docpropproject">
    <vt:lpwstr/>
  </property>
</Properties>
</file>